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202300"/>
  <mc:AlternateContent xmlns:mc="http://schemas.openxmlformats.org/markup-compatibility/2006">
    <mc:Choice Requires="x15">
      <x15ac:absPath xmlns:x15ac="http://schemas.microsoft.com/office/spreadsheetml/2010/11/ac" url="https://educause-my.sharepoint.com/personal/narbino_educause_edu/Documents/Desktop/"/>
    </mc:Choice>
  </mc:AlternateContent>
  <xr:revisionPtr revIDLastSave="94" documentId="8_{856387F5-273C-4686-97CB-268834DD89E7}" xr6:coauthVersionLast="47" xr6:coauthVersionMax="47" xr10:uidLastSave="{D58CDB95-A1B6-40E9-9B14-EB4A7D86E2AD}"/>
  <bookViews>
    <workbookView xWindow="-120" yWindow="-120" windowWidth="29040" windowHeight="15720" tabRatio="815" firstSheet="1" activeTab="11"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8" hidden="1">'Institution Evaluation'!$H$2:$I$2</definedName>
    <definedName name="_xlnm._FilterDatabase" localSheetId="10" hidden="1">'Privacy Analyst Evaluation'!$H$2:$I$2</definedName>
    <definedName name="_xlnm._FilterDatabase" localSheetId="12" hidden="1">Questions!$A$2:$X$334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4" l="1"/>
  <c r="E47" i="8"/>
  <c r="E23" i="4"/>
  <c r="E24" i="4"/>
  <c r="E30" i="8"/>
  <c r="G22" i="25"/>
  <c r="G23" i="25"/>
  <c r="G24" i="25"/>
  <c r="G25" i="25"/>
  <c r="G26" i="25"/>
  <c r="G27" i="25"/>
  <c r="G28" i="25"/>
  <c r="G29" i="25"/>
  <c r="G30" i="25"/>
  <c r="G21" i="25"/>
  <c r="E87" i="14"/>
  <c r="E86" i="14"/>
  <c r="E85" i="14"/>
  <c r="E84" i="14"/>
  <c r="E83" i="14"/>
  <c r="E82" i="14"/>
  <c r="E81" i="14"/>
  <c r="E80" i="14"/>
  <c r="E79" i="14"/>
  <c r="E78" i="14"/>
  <c r="E77" i="14"/>
  <c r="E76" i="14"/>
  <c r="E72" i="14"/>
  <c r="E61" i="14"/>
  <c r="E40" i="14"/>
  <c r="E39" i="14"/>
  <c r="E35" i="14"/>
  <c r="E67" i="8"/>
  <c r="E46" i="8"/>
  <c r="E45" i="8"/>
  <c r="E44" i="8"/>
  <c r="E38" i="8"/>
  <c r="E37" i="8"/>
  <c r="E33" i="8"/>
  <c r="E32" i="8"/>
  <c r="E31" i="8"/>
  <c r="E88" i="14"/>
  <c r="E75" i="14"/>
  <c r="E74" i="14"/>
  <c r="E71" i="14"/>
  <c r="E70" i="14"/>
  <c r="E69" i="14"/>
  <c r="E68" i="14"/>
  <c r="E66" i="14"/>
  <c r="E65" i="14"/>
  <c r="E64" i="14"/>
  <c r="E62" i="14"/>
  <c r="E60" i="14"/>
  <c r="E59" i="14"/>
  <c r="E58" i="14"/>
  <c r="E57" i="14"/>
  <c r="E56" i="14"/>
  <c r="E55" i="14"/>
  <c r="E54" i="14"/>
  <c r="E52" i="14"/>
  <c r="E51" i="14"/>
  <c r="E50" i="14"/>
  <c r="E49" i="14"/>
  <c r="E48" i="14"/>
  <c r="E47" i="14"/>
  <c r="E46" i="14"/>
  <c r="E45" i="14"/>
  <c r="E43" i="14"/>
  <c r="E42" i="14"/>
  <c r="E37" i="14"/>
  <c r="E36" i="14"/>
  <c r="E33" i="14"/>
  <c r="E32" i="14"/>
  <c r="E31" i="14"/>
  <c r="E30" i="14"/>
  <c r="E28" i="14"/>
  <c r="E27" i="14"/>
  <c r="E26" i="14"/>
  <c r="E25" i="14"/>
  <c r="E24" i="14"/>
  <c r="E50" i="10"/>
  <c r="E49" i="10"/>
  <c r="E48" i="10"/>
  <c r="E47" i="10"/>
  <c r="E46" i="10"/>
  <c r="E45" i="10"/>
  <c r="E44" i="10"/>
  <c r="E43" i="10"/>
  <c r="E42" i="10"/>
  <c r="E41" i="10"/>
  <c r="E40" i="10"/>
  <c r="E39" i="10"/>
  <c r="E38" i="10"/>
  <c r="E37" i="10"/>
  <c r="E36" i="10"/>
  <c r="E66" i="8"/>
  <c r="E65" i="8"/>
  <c r="E64" i="8"/>
  <c r="E63" i="8"/>
  <c r="E62" i="8"/>
  <c r="E61" i="8"/>
  <c r="E60" i="8"/>
  <c r="E59" i="8"/>
  <c r="E58" i="8"/>
  <c r="E57" i="8"/>
  <c r="E56" i="8"/>
  <c r="E55" i="8"/>
  <c r="E54" i="8"/>
  <c r="E53" i="8"/>
  <c r="E51" i="8"/>
  <c r="E50" i="8"/>
  <c r="E49" i="8"/>
  <c r="E48" i="8"/>
  <c r="E43" i="8"/>
  <c r="E42" i="8"/>
  <c r="E41" i="8"/>
  <c r="E40" i="8"/>
  <c r="E39" i="8"/>
  <c r="E36" i="8"/>
  <c r="E34" i="8"/>
  <c r="E28" i="8"/>
  <c r="E27" i="8"/>
  <c r="E26" i="8"/>
  <c r="E25" i="8"/>
  <c r="E24" i="8"/>
  <c r="E23" i="8"/>
  <c r="E22" i="8"/>
  <c r="E36" i="4"/>
  <c r="E35" i="4"/>
  <c r="E34" i="4"/>
  <c r="E33" i="4"/>
  <c r="E32" i="4"/>
  <c r="E31" i="4"/>
  <c r="E30" i="4"/>
  <c r="E29" i="4"/>
  <c r="E27" i="4"/>
  <c r="E26" i="4"/>
  <c r="E25" i="4"/>
  <c r="K2" i="21" l="1"/>
  <c r="C13" i="8" l="1"/>
  <c r="C14" i="8"/>
  <c r="C15" i="8"/>
  <c r="C16" i="8"/>
  <c r="C17" i="8"/>
  <c r="C18" i="8"/>
  <c r="C19" i="8"/>
  <c r="C20" i="8"/>
  <c r="C17" i="16" l="1"/>
  <c r="X334" i="2"/>
  <c r="X333" i="2"/>
  <c r="X332" i="2"/>
  <c r="X331" i="2"/>
  <c r="X330" i="2"/>
  <c r="X329" i="2"/>
  <c r="X328" i="2"/>
  <c r="X327" i="2"/>
  <c r="X326" i="2"/>
  <c r="X325" i="2"/>
  <c r="X324" i="2"/>
  <c r="X323" i="2"/>
  <c r="X322" i="2"/>
  <c r="X321" i="2"/>
  <c r="X320" i="2"/>
  <c r="X319" i="2"/>
  <c r="X317" i="2"/>
  <c r="X316" i="2"/>
  <c r="X315" i="2"/>
  <c r="X314" i="2"/>
  <c r="X313" i="2"/>
  <c r="X312" i="2"/>
  <c r="X311" i="2"/>
  <c r="X310" i="2"/>
  <c r="X309" i="2"/>
  <c r="X307" i="2"/>
  <c r="X306" i="2"/>
  <c r="X305" i="2"/>
  <c r="X237" i="2"/>
  <c r="X234" i="2"/>
  <c r="X233" i="2"/>
  <c r="X232" i="2"/>
  <c r="X231" i="2"/>
  <c r="X230" i="2"/>
  <c r="X229" i="2"/>
  <c r="X228" i="2"/>
  <c r="X226"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59" i="2"/>
  <c r="X158" i="2"/>
  <c r="X157" i="2"/>
  <c r="X156" i="2"/>
  <c r="X155" i="2"/>
  <c r="X154" i="2"/>
  <c r="X153" i="2"/>
  <c r="X152" i="2"/>
  <c r="X151" i="2"/>
  <c r="X150" i="2"/>
  <c r="X149" i="2"/>
  <c r="X148" i="2"/>
  <c r="X147" i="2"/>
  <c r="X146" i="2"/>
  <c r="X145" i="2"/>
  <c r="X144" i="2"/>
  <c r="X143" i="2"/>
  <c r="X142" i="2"/>
  <c r="X141" i="2"/>
  <c r="X140" i="2"/>
  <c r="X139" i="2"/>
  <c r="X138" i="2"/>
  <c r="X137" i="2"/>
  <c r="X136"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1" i="2"/>
  <c r="X30" i="2"/>
  <c r="X29" i="2"/>
  <c r="X28" i="2"/>
  <c r="X27" i="2"/>
  <c r="X26" i="2"/>
  <c r="X25" i="2"/>
  <c r="X15" i="2"/>
  <c r="X14" i="2"/>
  <c r="X12" i="2"/>
  <c r="D385" i="16" l="1"/>
  <c r="C385" i="16"/>
  <c r="B385" i="16"/>
  <c r="D384" i="16"/>
  <c r="C384" i="16"/>
  <c r="B384" i="16"/>
  <c r="D383" i="16"/>
  <c r="C383" i="16"/>
  <c r="B383" i="16"/>
  <c r="D382" i="16"/>
  <c r="C382" i="16"/>
  <c r="B382" i="16"/>
  <c r="D381" i="16"/>
  <c r="C381" i="16"/>
  <c r="B381" i="16"/>
  <c r="D380" i="16"/>
  <c r="C380" i="16"/>
  <c r="B380" i="16"/>
  <c r="D379" i="16"/>
  <c r="C379" i="16"/>
  <c r="B379" i="16"/>
  <c r="D378" i="16"/>
  <c r="C378" i="16"/>
  <c r="B378" i="16"/>
  <c r="D377" i="16"/>
  <c r="C377" i="16"/>
  <c r="A377" i="16"/>
  <c r="D376" i="16"/>
  <c r="C376" i="16"/>
  <c r="B376" i="16"/>
  <c r="D375" i="16"/>
  <c r="C375" i="16"/>
  <c r="B375" i="16"/>
  <c r="D374" i="16"/>
  <c r="C374" i="16"/>
  <c r="B374" i="16"/>
  <c r="D373" i="16"/>
  <c r="C373" i="16"/>
  <c r="B373" i="16"/>
  <c r="D372" i="16"/>
  <c r="C372" i="16"/>
  <c r="B372" i="16"/>
  <c r="D371" i="16"/>
  <c r="C371" i="16"/>
  <c r="B371" i="16"/>
  <c r="D370" i="16"/>
  <c r="C370" i="16"/>
  <c r="B370" i="16"/>
  <c r="D369" i="16"/>
  <c r="C369" i="16"/>
  <c r="B369" i="16"/>
  <c r="D368" i="16"/>
  <c r="C368" i="16"/>
  <c r="B368" i="16"/>
  <c r="D367" i="16"/>
  <c r="C367" i="16"/>
  <c r="B367" i="16"/>
  <c r="D366" i="16"/>
  <c r="C366" i="16"/>
  <c r="B366" i="16"/>
  <c r="D365" i="16"/>
  <c r="C365" i="16"/>
  <c r="B365" i="16"/>
  <c r="D364" i="16"/>
  <c r="C364" i="16"/>
  <c r="B364" i="16"/>
  <c r="D363" i="16"/>
  <c r="C363" i="16"/>
  <c r="B363" i="16"/>
  <c r="D362" i="16"/>
  <c r="C362" i="16"/>
  <c r="B362" i="16"/>
  <c r="D361" i="16"/>
  <c r="C361" i="16"/>
  <c r="A361" i="16"/>
  <c r="D360" i="16"/>
  <c r="C360" i="16"/>
  <c r="B360" i="16"/>
  <c r="D359" i="16"/>
  <c r="C359" i="16"/>
  <c r="B359" i="16"/>
  <c r="D358" i="16"/>
  <c r="C358" i="16"/>
  <c r="B358" i="16"/>
  <c r="D357" i="16"/>
  <c r="C357" i="16"/>
  <c r="B357" i="16"/>
  <c r="D356" i="16"/>
  <c r="C356" i="16"/>
  <c r="B356" i="16"/>
  <c r="D355" i="16"/>
  <c r="C355" i="16"/>
  <c r="A355" i="16"/>
  <c r="D354" i="16"/>
  <c r="C354" i="16"/>
  <c r="B354" i="16"/>
  <c r="D353" i="16"/>
  <c r="C353" i="16"/>
  <c r="B353" i="16"/>
  <c r="D352" i="16"/>
  <c r="C352" i="16"/>
  <c r="B352" i="16"/>
  <c r="D351" i="16"/>
  <c r="C351" i="16"/>
  <c r="B351" i="16"/>
  <c r="D350" i="16"/>
  <c r="C350" i="16"/>
  <c r="B350" i="16"/>
  <c r="D349" i="16"/>
  <c r="C349" i="16"/>
  <c r="B349" i="16"/>
  <c r="D348" i="16"/>
  <c r="C348" i="16"/>
  <c r="B348" i="16"/>
  <c r="D347" i="16"/>
  <c r="C347" i="16"/>
  <c r="B347" i="16"/>
  <c r="D346" i="16"/>
  <c r="C346" i="16"/>
  <c r="B346" i="16"/>
  <c r="D345" i="16"/>
  <c r="C345" i="16"/>
  <c r="B345" i="16"/>
  <c r="D344" i="16"/>
  <c r="C344" i="16"/>
  <c r="B344" i="16"/>
  <c r="D343" i="16"/>
  <c r="C343" i="16"/>
  <c r="B343" i="16"/>
  <c r="D342" i="16"/>
  <c r="C342" i="16"/>
  <c r="B342" i="16"/>
  <c r="D341" i="16"/>
  <c r="C341" i="16"/>
  <c r="A341" i="16"/>
  <c r="D340" i="16"/>
  <c r="C340" i="16"/>
  <c r="B340" i="16"/>
  <c r="D339" i="16"/>
  <c r="C339" i="16"/>
  <c r="B339" i="16"/>
  <c r="D338" i="16"/>
  <c r="C338" i="16"/>
  <c r="B338" i="16"/>
  <c r="D337" i="16"/>
  <c r="C337" i="16"/>
  <c r="B337" i="16"/>
  <c r="D336" i="16"/>
  <c r="C336" i="16"/>
  <c r="B336" i="16"/>
  <c r="D335" i="16"/>
  <c r="C335" i="16"/>
  <c r="B335" i="16"/>
  <c r="D334" i="16"/>
  <c r="C334" i="16"/>
  <c r="B334" i="16"/>
  <c r="D333" i="16"/>
  <c r="C333" i="16"/>
  <c r="B333" i="16"/>
  <c r="D332" i="16"/>
  <c r="C332" i="16"/>
  <c r="A332" i="16"/>
  <c r="D331" i="16"/>
  <c r="C331" i="16"/>
  <c r="B331" i="16"/>
  <c r="D330" i="16"/>
  <c r="C330" i="16"/>
  <c r="B330" i="16"/>
  <c r="D329" i="16"/>
  <c r="C329" i="16"/>
  <c r="A329" i="16"/>
  <c r="D328" i="16"/>
  <c r="C328" i="16"/>
  <c r="B328" i="16"/>
  <c r="D327" i="16"/>
  <c r="C327" i="16"/>
  <c r="B327" i="16"/>
  <c r="D326" i="16"/>
  <c r="C326" i="16"/>
  <c r="A326" i="16"/>
  <c r="D325" i="16"/>
  <c r="C325" i="16"/>
  <c r="B325" i="16"/>
  <c r="D324" i="16"/>
  <c r="C324" i="16"/>
  <c r="B324" i="16"/>
  <c r="D323" i="16"/>
  <c r="C323" i="16"/>
  <c r="B323" i="16"/>
  <c r="D322" i="16"/>
  <c r="C322" i="16"/>
  <c r="A322" i="16"/>
  <c r="D321" i="16"/>
  <c r="C321" i="16"/>
  <c r="B321" i="16"/>
  <c r="D320" i="16"/>
  <c r="C320" i="16"/>
  <c r="B320" i="16"/>
  <c r="D319" i="16"/>
  <c r="C319" i="16"/>
  <c r="B319" i="16"/>
  <c r="D318" i="16"/>
  <c r="C318" i="16"/>
  <c r="B318" i="16"/>
  <c r="D317" i="16"/>
  <c r="C317" i="16"/>
  <c r="A317" i="16"/>
  <c r="D316" i="16"/>
  <c r="C316" i="16"/>
  <c r="B316" i="16"/>
  <c r="D315" i="16"/>
  <c r="C315" i="16"/>
  <c r="B315" i="16"/>
  <c r="D314" i="16"/>
  <c r="C314" i="16"/>
  <c r="B314" i="16"/>
  <c r="D313" i="16"/>
  <c r="C313" i="16"/>
  <c r="B313" i="16"/>
  <c r="D312" i="16"/>
  <c r="C312" i="16"/>
  <c r="B312" i="16"/>
  <c r="D311" i="16"/>
  <c r="C311" i="16"/>
  <c r="A311" i="16"/>
  <c r="D308" i="16"/>
  <c r="C308" i="16"/>
  <c r="B308" i="16"/>
  <c r="D307" i="16"/>
  <c r="C307" i="16"/>
  <c r="B307" i="16"/>
  <c r="D306" i="16"/>
  <c r="C306" i="16"/>
  <c r="B306" i="16"/>
  <c r="D305" i="16"/>
  <c r="C305" i="16"/>
  <c r="B305" i="16"/>
  <c r="D304" i="16"/>
  <c r="C304" i="16"/>
  <c r="B304" i="16"/>
  <c r="D303" i="16"/>
  <c r="C303" i="16"/>
  <c r="B303" i="16"/>
  <c r="D302" i="16"/>
  <c r="C302" i="16"/>
  <c r="A302" i="16"/>
  <c r="D301" i="16"/>
  <c r="C301" i="16"/>
  <c r="B301" i="16"/>
  <c r="D300" i="16"/>
  <c r="C300" i="16"/>
  <c r="B300" i="16"/>
  <c r="D299" i="16"/>
  <c r="C299" i="16"/>
  <c r="B299" i="16"/>
  <c r="D298" i="16"/>
  <c r="C298" i="16"/>
  <c r="B298" i="16"/>
  <c r="D297" i="16"/>
  <c r="C297" i="16"/>
  <c r="B297" i="16"/>
  <c r="D296" i="16"/>
  <c r="C296" i="16"/>
  <c r="B296" i="16"/>
  <c r="D295" i="16"/>
  <c r="C295" i="16"/>
  <c r="B295" i="16"/>
  <c r="D294" i="16"/>
  <c r="C294" i="16"/>
  <c r="B294" i="16"/>
  <c r="D293" i="16"/>
  <c r="C293" i="16"/>
  <c r="A293" i="16"/>
  <c r="D292" i="16"/>
  <c r="C292" i="16"/>
  <c r="B292" i="16"/>
  <c r="D291" i="16"/>
  <c r="C291" i="16"/>
  <c r="B291" i="16"/>
  <c r="D290" i="16"/>
  <c r="C290" i="16"/>
  <c r="B290" i="16"/>
  <c r="D289" i="16"/>
  <c r="C289" i="16"/>
  <c r="B289" i="16"/>
  <c r="D288" i="16"/>
  <c r="C288" i="16"/>
  <c r="B288" i="16"/>
  <c r="D287" i="16"/>
  <c r="C287" i="16"/>
  <c r="A287" i="16"/>
  <c r="D286" i="16"/>
  <c r="C286" i="16"/>
  <c r="B286" i="16"/>
  <c r="D285" i="16"/>
  <c r="C285" i="16"/>
  <c r="B285" i="16"/>
  <c r="D284" i="16"/>
  <c r="C284" i="16"/>
  <c r="B284" i="16"/>
  <c r="D283" i="16"/>
  <c r="C283" i="16"/>
  <c r="B283" i="16"/>
  <c r="D282" i="16"/>
  <c r="C282" i="16"/>
  <c r="B282" i="16"/>
  <c r="D281" i="16"/>
  <c r="C281" i="16"/>
  <c r="A281" i="16"/>
  <c r="D280" i="16"/>
  <c r="C280" i="16"/>
  <c r="B280" i="16"/>
  <c r="D279" i="16"/>
  <c r="C279" i="16"/>
  <c r="B279" i="16"/>
  <c r="D278" i="16"/>
  <c r="C278" i="16"/>
  <c r="B278" i="16"/>
  <c r="D277" i="16"/>
  <c r="C277" i="16"/>
  <c r="B277" i="16"/>
  <c r="D276" i="16"/>
  <c r="C276" i="16"/>
  <c r="B276" i="16"/>
  <c r="D275" i="16"/>
  <c r="C275" i="16"/>
  <c r="A275" i="16"/>
  <c r="D274" i="16"/>
  <c r="C274" i="16"/>
  <c r="B274" i="16"/>
  <c r="D273" i="16"/>
  <c r="C273" i="16"/>
  <c r="B273" i="16"/>
  <c r="D272" i="16"/>
  <c r="C272" i="16"/>
  <c r="A272" i="16"/>
  <c r="D271" i="16"/>
  <c r="C271" i="16"/>
  <c r="B271" i="16"/>
  <c r="D270" i="16"/>
  <c r="C270" i="16"/>
  <c r="B270" i="16"/>
  <c r="D269" i="16"/>
  <c r="C269" i="16"/>
  <c r="B269" i="16"/>
  <c r="D268" i="16"/>
  <c r="C268" i="16"/>
  <c r="B268" i="16"/>
  <c r="D267" i="16"/>
  <c r="C267" i="16"/>
  <c r="B267" i="16"/>
  <c r="D266" i="16"/>
  <c r="C266" i="16"/>
  <c r="B266" i="16"/>
  <c r="D265" i="16"/>
  <c r="C265" i="16"/>
  <c r="B265" i="16"/>
  <c r="D264" i="16"/>
  <c r="C264" i="16"/>
  <c r="B264" i="16"/>
  <c r="D263" i="16"/>
  <c r="C263" i="16"/>
  <c r="B263" i="16"/>
  <c r="D262" i="16"/>
  <c r="C262" i="16"/>
  <c r="B262" i="16"/>
  <c r="D261" i="16"/>
  <c r="C261" i="16"/>
  <c r="A261" i="16"/>
  <c r="D260" i="16"/>
  <c r="C260" i="16"/>
  <c r="B260" i="16"/>
  <c r="D259" i="16"/>
  <c r="C259" i="16"/>
  <c r="B259" i="16"/>
  <c r="D258" i="16"/>
  <c r="C258" i="16"/>
  <c r="B258" i="16"/>
  <c r="D257" i="16"/>
  <c r="C257" i="16"/>
  <c r="B257" i="16"/>
  <c r="D256" i="16"/>
  <c r="C256" i="16"/>
  <c r="B256" i="16"/>
  <c r="D255" i="16"/>
  <c r="C255" i="16"/>
  <c r="B255" i="16"/>
  <c r="D254" i="16"/>
  <c r="C254" i="16"/>
  <c r="B254" i="16"/>
  <c r="D253" i="16"/>
  <c r="C253" i="16"/>
  <c r="B253" i="16"/>
  <c r="D252" i="16"/>
  <c r="C252" i="16"/>
  <c r="B252" i="16"/>
  <c r="D251" i="16"/>
  <c r="C251" i="16"/>
  <c r="B251" i="16"/>
  <c r="D250" i="16"/>
  <c r="C250" i="16"/>
  <c r="B250" i="16"/>
  <c r="D249" i="16"/>
  <c r="C249" i="16"/>
  <c r="B249" i="16"/>
  <c r="D248" i="16"/>
  <c r="C248" i="16"/>
  <c r="A248" i="16"/>
  <c r="D247" i="16"/>
  <c r="C247" i="16"/>
  <c r="B247" i="16"/>
  <c r="D246" i="16"/>
  <c r="C246" i="16"/>
  <c r="B246" i="16"/>
  <c r="D245" i="16"/>
  <c r="C245" i="16"/>
  <c r="B245" i="16"/>
  <c r="D244" i="16"/>
  <c r="C244" i="16"/>
  <c r="B244" i="16"/>
  <c r="D243" i="16"/>
  <c r="C243" i="16"/>
  <c r="B243" i="16"/>
  <c r="D242" i="16"/>
  <c r="C242" i="16"/>
  <c r="B242" i="16"/>
  <c r="D241" i="16"/>
  <c r="C241" i="16"/>
  <c r="B241" i="16"/>
  <c r="D240" i="16"/>
  <c r="C240" i="16"/>
  <c r="B240" i="16"/>
  <c r="D239" i="16"/>
  <c r="C239" i="16"/>
  <c r="B239" i="16"/>
  <c r="D238" i="16"/>
  <c r="C238" i="16"/>
  <c r="B238" i="16"/>
  <c r="D237" i="16"/>
  <c r="C237" i="16"/>
  <c r="B237" i="16"/>
  <c r="D236" i="16"/>
  <c r="C236" i="16"/>
  <c r="B236" i="16"/>
  <c r="D235" i="16"/>
  <c r="C235" i="16"/>
  <c r="B235" i="16"/>
  <c r="D234" i="16"/>
  <c r="C234" i="16"/>
  <c r="B234" i="16"/>
  <c r="D233" i="16"/>
  <c r="C233" i="16"/>
  <c r="B233" i="16"/>
  <c r="D232" i="16"/>
  <c r="C232" i="16"/>
  <c r="B232" i="16"/>
  <c r="D231" i="16"/>
  <c r="C231" i="16"/>
  <c r="B231" i="16"/>
  <c r="D230" i="16"/>
  <c r="C230" i="16"/>
  <c r="B230" i="16"/>
  <c r="D229" i="16"/>
  <c r="C229" i="16"/>
  <c r="B229" i="16"/>
  <c r="D228" i="16"/>
  <c r="C228" i="16"/>
  <c r="B228" i="16"/>
  <c r="D227" i="16"/>
  <c r="C227" i="16"/>
  <c r="B227" i="16"/>
  <c r="D226" i="16"/>
  <c r="C226" i="16"/>
  <c r="B226" i="16"/>
  <c r="D225" i="16"/>
  <c r="C225" i="16"/>
  <c r="B225" i="16"/>
  <c r="D224" i="16"/>
  <c r="C224" i="16"/>
  <c r="B224" i="16"/>
  <c r="D223" i="16"/>
  <c r="C223" i="16"/>
  <c r="B223" i="16"/>
  <c r="D222" i="16"/>
  <c r="C222" i="16"/>
  <c r="B222" i="16"/>
  <c r="D221" i="16"/>
  <c r="C221" i="16"/>
  <c r="B221" i="16"/>
  <c r="D220" i="16"/>
  <c r="C220" i="16"/>
  <c r="B220" i="16"/>
  <c r="D219" i="16"/>
  <c r="C219" i="16"/>
  <c r="B219" i="16"/>
  <c r="D218" i="16"/>
  <c r="C218" i="16"/>
  <c r="A218" i="16"/>
  <c r="D217" i="16"/>
  <c r="C217" i="16"/>
  <c r="B217" i="16"/>
  <c r="D216" i="16"/>
  <c r="C216" i="16"/>
  <c r="B216" i="16"/>
  <c r="D215" i="16"/>
  <c r="C215" i="16"/>
  <c r="B215" i="16"/>
  <c r="D214" i="16"/>
  <c r="C214" i="16"/>
  <c r="B214" i="16"/>
  <c r="D213" i="16"/>
  <c r="C213" i="16"/>
  <c r="B213" i="16"/>
  <c r="D212" i="16"/>
  <c r="C212" i="16"/>
  <c r="B212" i="16"/>
  <c r="D211" i="16"/>
  <c r="C211" i="16"/>
  <c r="B211" i="16"/>
  <c r="D210" i="16"/>
  <c r="C210" i="16"/>
  <c r="B210" i="16"/>
  <c r="D209" i="16"/>
  <c r="C209" i="16"/>
  <c r="B209" i="16"/>
  <c r="D208" i="16"/>
  <c r="C208" i="16"/>
  <c r="A208" i="16"/>
  <c r="D207" i="16"/>
  <c r="C207" i="16"/>
  <c r="B207" i="16"/>
  <c r="D206" i="16"/>
  <c r="C206" i="16"/>
  <c r="B206" i="16"/>
  <c r="D205" i="16"/>
  <c r="C205" i="16"/>
  <c r="B205" i="16"/>
  <c r="D204" i="16"/>
  <c r="C204" i="16"/>
  <c r="B204" i="16"/>
  <c r="D203" i="16"/>
  <c r="C203" i="16"/>
  <c r="B203" i="16"/>
  <c r="D202" i="16"/>
  <c r="C202" i="16"/>
  <c r="B202" i="16"/>
  <c r="D201" i="16"/>
  <c r="C201" i="16"/>
  <c r="B201" i="16"/>
  <c r="D200" i="16"/>
  <c r="C200" i="16"/>
  <c r="B200" i="16"/>
  <c r="D199" i="16"/>
  <c r="C199" i="16"/>
  <c r="B199" i="16"/>
  <c r="D198" i="16"/>
  <c r="C198" i="16"/>
  <c r="B198" i="16"/>
  <c r="D197" i="16"/>
  <c r="C197" i="16"/>
  <c r="B197" i="16"/>
  <c r="D196" i="16"/>
  <c r="C196" i="16"/>
  <c r="B196" i="16"/>
  <c r="D195" i="16"/>
  <c r="C195" i="16"/>
  <c r="B195" i="16"/>
  <c r="D194" i="16"/>
  <c r="C194" i="16"/>
  <c r="B194" i="16"/>
  <c r="D193" i="16"/>
  <c r="C193" i="16"/>
  <c r="B193" i="16"/>
  <c r="D192" i="16"/>
  <c r="C192" i="16"/>
  <c r="B192" i="16"/>
  <c r="D191" i="16"/>
  <c r="C191" i="16"/>
  <c r="B191" i="16"/>
  <c r="D190" i="16"/>
  <c r="C190" i="16"/>
  <c r="B190" i="16"/>
  <c r="D189" i="16"/>
  <c r="C189" i="16"/>
  <c r="A189" i="16"/>
  <c r="D188" i="16"/>
  <c r="C188" i="16"/>
  <c r="B188" i="16"/>
  <c r="D187" i="16"/>
  <c r="C187" i="16"/>
  <c r="B187" i="16"/>
  <c r="D186" i="16"/>
  <c r="C186" i="16"/>
  <c r="B186" i="16"/>
  <c r="D185" i="16"/>
  <c r="C185" i="16"/>
  <c r="B185" i="16"/>
  <c r="D184" i="16"/>
  <c r="C184" i="16"/>
  <c r="B184" i="16"/>
  <c r="D183" i="16"/>
  <c r="C183" i="16"/>
  <c r="B183" i="16"/>
  <c r="D182" i="16"/>
  <c r="C182" i="16"/>
  <c r="A182" i="16"/>
  <c r="D181" i="16"/>
  <c r="C181" i="16"/>
  <c r="B181" i="16"/>
  <c r="D180" i="16"/>
  <c r="C180" i="16"/>
  <c r="B180" i="16"/>
  <c r="D179" i="16"/>
  <c r="C179" i="16"/>
  <c r="B179" i="16"/>
  <c r="D178" i="16"/>
  <c r="C178" i="16"/>
  <c r="B178" i="16"/>
  <c r="D177" i="16"/>
  <c r="C177" i="16"/>
  <c r="A177" i="16"/>
  <c r="D176" i="16"/>
  <c r="C176" i="16"/>
  <c r="B176" i="16"/>
  <c r="D175" i="16"/>
  <c r="C175" i="16"/>
  <c r="B175" i="16"/>
  <c r="D174" i="16"/>
  <c r="C174" i="16"/>
  <c r="B174" i="16"/>
  <c r="D173" i="16"/>
  <c r="C173" i="16"/>
  <c r="B173" i="16"/>
  <c r="D172" i="16"/>
  <c r="C172" i="16"/>
  <c r="B172" i="16"/>
  <c r="D171" i="16"/>
  <c r="C171" i="16"/>
  <c r="B171" i="16"/>
  <c r="D170" i="16"/>
  <c r="C170" i="16"/>
  <c r="B170" i="16"/>
  <c r="D169" i="16"/>
  <c r="C169" i="16"/>
  <c r="B169" i="16"/>
  <c r="D168" i="16"/>
  <c r="C168" i="16"/>
  <c r="B168" i="16"/>
  <c r="D167" i="16"/>
  <c r="C167" i="16"/>
  <c r="B167" i="16"/>
  <c r="D166" i="16"/>
  <c r="C166" i="16"/>
  <c r="B166" i="16"/>
  <c r="D165" i="16"/>
  <c r="C165" i="16"/>
  <c r="A165" i="16"/>
  <c r="D164" i="16"/>
  <c r="C164" i="16"/>
  <c r="B164" i="16"/>
  <c r="D163" i="16"/>
  <c r="C163" i="16"/>
  <c r="B163" i="16"/>
  <c r="D162" i="16"/>
  <c r="C162" i="16"/>
  <c r="B162" i="16"/>
  <c r="D161" i="16"/>
  <c r="C161" i="16"/>
  <c r="B161" i="16"/>
  <c r="D160" i="16"/>
  <c r="C160" i="16"/>
  <c r="B160" i="16"/>
  <c r="D159" i="16"/>
  <c r="C159" i="16"/>
  <c r="B159" i="16"/>
  <c r="D158" i="16"/>
  <c r="C158" i="16"/>
  <c r="B158" i="16"/>
  <c r="D157" i="16"/>
  <c r="C157" i="16"/>
  <c r="B157" i="16"/>
  <c r="D156" i="16"/>
  <c r="C156" i="16"/>
  <c r="B156" i="16"/>
  <c r="D155" i="16"/>
  <c r="C155" i="16"/>
  <c r="B155" i="16"/>
  <c r="D154" i="16"/>
  <c r="C154" i="16"/>
  <c r="B154" i="16"/>
  <c r="D153" i="16"/>
  <c r="C153" i="16"/>
  <c r="B153" i="16"/>
  <c r="D152" i="16"/>
  <c r="C152" i="16"/>
  <c r="B152" i="16"/>
  <c r="D151" i="16"/>
  <c r="C151" i="16"/>
  <c r="B151" i="16"/>
  <c r="D150" i="16"/>
  <c r="C150" i="16"/>
  <c r="B150" i="16"/>
  <c r="D149" i="16"/>
  <c r="C149" i="16"/>
  <c r="B149" i="16"/>
  <c r="D148" i="16"/>
  <c r="C148" i="16"/>
  <c r="A148" i="16"/>
  <c r="D147" i="16"/>
  <c r="C147" i="16"/>
  <c r="B147" i="16"/>
  <c r="D146" i="16"/>
  <c r="C146" i="16"/>
  <c r="B146" i="16"/>
  <c r="D145" i="16"/>
  <c r="C145" i="16"/>
  <c r="B145" i="16"/>
  <c r="D144" i="16"/>
  <c r="C144" i="16"/>
  <c r="B144" i="16"/>
  <c r="D143" i="16"/>
  <c r="C143" i="16"/>
  <c r="B143" i="16"/>
  <c r="D142" i="16"/>
  <c r="C142" i="16"/>
  <c r="B142" i="16"/>
  <c r="D141" i="16"/>
  <c r="C141" i="16"/>
  <c r="B141" i="16"/>
  <c r="D140" i="16"/>
  <c r="C140" i="16"/>
  <c r="B140" i="16"/>
  <c r="D139" i="16"/>
  <c r="C139" i="16"/>
  <c r="B139" i="16"/>
  <c r="D138" i="16"/>
  <c r="C138" i="16"/>
  <c r="B138" i="16"/>
  <c r="D137" i="16"/>
  <c r="C137" i="16"/>
  <c r="B137" i="16"/>
  <c r="D136" i="16"/>
  <c r="C136" i="16"/>
  <c r="B136" i="16"/>
  <c r="D135" i="16"/>
  <c r="C135" i="16"/>
  <c r="B135" i="16"/>
  <c r="D134" i="16"/>
  <c r="C134" i="16"/>
  <c r="B134" i="16"/>
  <c r="D133" i="16"/>
  <c r="C133" i="16"/>
  <c r="A133" i="16"/>
  <c r="D132" i="16"/>
  <c r="C132" i="16"/>
  <c r="B132" i="16"/>
  <c r="D131" i="16"/>
  <c r="C131" i="16"/>
  <c r="B131" i="16"/>
  <c r="D130" i="16"/>
  <c r="C130" i="16"/>
  <c r="B130" i="16"/>
  <c r="D129" i="16"/>
  <c r="C129" i="16"/>
  <c r="B129" i="16"/>
  <c r="D128" i="16"/>
  <c r="C128" i="16"/>
  <c r="B128" i="16"/>
  <c r="D127" i="16"/>
  <c r="C127" i="16"/>
  <c r="B127" i="16"/>
  <c r="D126" i="16"/>
  <c r="C126" i="16"/>
  <c r="B126" i="16"/>
  <c r="D125" i="16"/>
  <c r="C125" i="16"/>
  <c r="B125" i="16"/>
  <c r="D124" i="16"/>
  <c r="C124" i="16"/>
  <c r="B124" i="16"/>
  <c r="D123" i="16"/>
  <c r="C123" i="16"/>
  <c r="B123" i="16"/>
  <c r="D122" i="16"/>
  <c r="C122" i="16"/>
  <c r="B122" i="16"/>
  <c r="D121" i="16"/>
  <c r="C121" i="16"/>
  <c r="B121" i="16"/>
  <c r="D120" i="16"/>
  <c r="C120" i="16"/>
  <c r="B120" i="16"/>
  <c r="D119" i="16"/>
  <c r="C119" i="16"/>
  <c r="B119" i="16"/>
  <c r="D118" i="16"/>
  <c r="C118" i="16"/>
  <c r="B118" i="16"/>
  <c r="D117" i="16"/>
  <c r="C117" i="16"/>
  <c r="B117" i="16"/>
  <c r="D116" i="16"/>
  <c r="C116" i="16"/>
  <c r="B116" i="16"/>
  <c r="D115" i="16"/>
  <c r="C115" i="16"/>
  <c r="B115" i="16"/>
  <c r="D114" i="16"/>
  <c r="C114" i="16"/>
  <c r="B114" i="16"/>
  <c r="D113" i="16"/>
  <c r="C113" i="16"/>
  <c r="B113" i="16"/>
  <c r="D112" i="16"/>
  <c r="C112" i="16"/>
  <c r="B112" i="16"/>
  <c r="D111" i="16"/>
  <c r="C111" i="16"/>
  <c r="B111" i="16"/>
  <c r="D110" i="16"/>
  <c r="C110" i="16"/>
  <c r="B110" i="16"/>
  <c r="D109" i="16"/>
  <c r="C109" i="16"/>
  <c r="A109" i="16"/>
  <c r="D97" i="16"/>
  <c r="C97" i="16"/>
  <c r="B97" i="16"/>
  <c r="D96" i="16"/>
  <c r="C96" i="16"/>
  <c r="B96" i="16"/>
  <c r="D95" i="16"/>
  <c r="C95" i="16"/>
  <c r="B95" i="16"/>
  <c r="D94" i="16"/>
  <c r="C94" i="16"/>
  <c r="B94" i="16"/>
  <c r="D93" i="16"/>
  <c r="C93" i="16"/>
  <c r="B93" i="16"/>
  <c r="D92" i="16"/>
  <c r="C92" i="16"/>
  <c r="B92" i="16"/>
  <c r="D91" i="16"/>
  <c r="C91" i="16"/>
  <c r="B91" i="16"/>
  <c r="D90" i="16"/>
  <c r="C90" i="16"/>
  <c r="B90" i="16"/>
  <c r="D89" i="16"/>
  <c r="C89" i="16"/>
  <c r="B89" i="16"/>
  <c r="D88" i="16"/>
  <c r="C88" i="16"/>
  <c r="B88" i="16"/>
  <c r="D87" i="16"/>
  <c r="C87" i="16"/>
  <c r="B87" i="16"/>
  <c r="D86" i="16"/>
  <c r="C86" i="16"/>
  <c r="B86" i="16"/>
  <c r="D85" i="16"/>
  <c r="C85" i="16"/>
  <c r="B85" i="16"/>
  <c r="D84" i="16"/>
  <c r="C84" i="16"/>
  <c r="B84" i="16"/>
  <c r="D83" i="16"/>
  <c r="C83" i="16"/>
  <c r="B83" i="16"/>
  <c r="D82" i="16"/>
  <c r="C82" i="16"/>
  <c r="B82" i="16"/>
  <c r="D81" i="16"/>
  <c r="C81" i="16"/>
  <c r="B81" i="16"/>
  <c r="D80" i="16"/>
  <c r="C80" i="16"/>
  <c r="B80" i="16"/>
  <c r="D79" i="16"/>
  <c r="C79" i="16"/>
  <c r="A79" i="16"/>
  <c r="D78" i="16"/>
  <c r="C78" i="16"/>
  <c r="B78" i="16"/>
  <c r="D77" i="16"/>
  <c r="C77" i="16"/>
  <c r="B77" i="16"/>
  <c r="D76" i="16"/>
  <c r="C76" i="16"/>
  <c r="B76" i="16"/>
  <c r="D75" i="16"/>
  <c r="C75" i="16"/>
  <c r="B75"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5" i="16"/>
  <c r="C65" i="16"/>
  <c r="B65" i="16"/>
  <c r="D64" i="16"/>
  <c r="C64" i="16"/>
  <c r="B64" i="16"/>
  <c r="D63" i="16"/>
  <c r="C63" i="16"/>
  <c r="A63" i="16"/>
  <c r="D62" i="16"/>
  <c r="C62" i="16"/>
  <c r="B62" i="16"/>
  <c r="D61" i="16"/>
  <c r="C61" i="16"/>
  <c r="B61" i="16"/>
  <c r="D60" i="16"/>
  <c r="C60" i="16"/>
  <c r="B60" i="16"/>
  <c r="D59" i="16"/>
  <c r="C59" i="16"/>
  <c r="B59" i="16"/>
  <c r="D58" i="16"/>
  <c r="C58" i="16"/>
  <c r="B58" i="16"/>
  <c r="D57"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A46" i="16"/>
  <c r="D45" i="16"/>
  <c r="C45" i="16"/>
  <c r="B45" i="16"/>
  <c r="D44" i="16"/>
  <c r="C44" i="16"/>
  <c r="B44" i="16"/>
  <c r="D43" i="16"/>
  <c r="C43" i="16"/>
  <c r="B43" i="16"/>
  <c r="D42" i="16"/>
  <c r="C42" i="16"/>
  <c r="B42" i="16"/>
  <c r="D41" i="16"/>
  <c r="C41" i="16"/>
  <c r="B41" i="16"/>
  <c r="D40" i="16"/>
  <c r="C40" i="16"/>
  <c r="A40" i="16"/>
  <c r="B29" i="4"/>
  <c r="A32" i="3"/>
  <c r="A71" i="8" l="1"/>
  <c r="D310" i="16"/>
  <c r="C310" i="16"/>
  <c r="D309" i="16"/>
  <c r="C309" i="16"/>
  <c r="D108" i="16"/>
  <c r="C108" i="16"/>
  <c r="D107" i="16"/>
  <c r="C107" i="16"/>
  <c r="D106" i="16"/>
  <c r="C106" i="16"/>
  <c r="D105" i="16"/>
  <c r="C105" i="16"/>
  <c r="D104" i="16"/>
  <c r="C104" i="16"/>
  <c r="D103" i="16"/>
  <c r="C103" i="16"/>
  <c r="D102" i="16"/>
  <c r="C102" i="16"/>
  <c r="D101" i="16"/>
  <c r="C101" i="16"/>
  <c r="D100" i="16"/>
  <c r="C100" i="16"/>
  <c r="D99" i="16"/>
  <c r="C99" i="16"/>
  <c r="D98" i="16"/>
  <c r="C98"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B91" i="14"/>
  <c r="A10" i="22"/>
  <c r="A23" i="16"/>
  <c r="I2" i="25" l="1"/>
  <c r="I2" i="22"/>
  <c r="F2" i="14"/>
  <c r="F2" i="13"/>
  <c r="F2" i="12"/>
  <c r="F2" i="11"/>
  <c r="F2" i="10"/>
  <c r="F2" i="9"/>
  <c r="F2" i="8"/>
  <c r="F2" i="4"/>
  <c r="A10" i="25" l="1"/>
  <c r="A43" i="25"/>
  <c r="A52" i="22"/>
  <c r="A9" i="22"/>
  <c r="A11" i="4"/>
  <c r="A11" i="8"/>
  <c r="A11" i="14"/>
  <c r="A11" i="13"/>
  <c r="A11" i="12"/>
  <c r="A11" i="11"/>
  <c r="A11" i="10"/>
  <c r="A11" i="9"/>
  <c r="A10" i="8"/>
  <c r="C17" i="25" l="1"/>
  <c r="C15" i="21"/>
  <c r="C17" i="22"/>
  <c r="E35" i="10"/>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A96" i="25" l="1"/>
  <c r="C3" i="8" l="1"/>
  <c r="B104"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A78" i="22"/>
  <c r="A24" i="20"/>
  <c r="B22" i="14"/>
  <c r="B36" i="4"/>
  <c r="B35" i="4"/>
  <c r="I78" i="22" l="1"/>
  <c r="G78" i="22"/>
  <c r="I79" i="22"/>
  <c r="G79" i="22"/>
  <c r="D24" i="20"/>
  <c r="C24" i="20"/>
  <c r="B24" i="20"/>
  <c r="E24" i="20"/>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B29" i="25"/>
  <c r="B28" i="25"/>
  <c r="B27" i="25"/>
  <c r="B26" i="25"/>
  <c r="B25" i="25"/>
  <c r="B24" i="25"/>
  <c r="B23" i="25"/>
  <c r="B22" i="25"/>
  <c r="B21" i="25"/>
  <c r="O24" i="20" l="1"/>
  <c r="L24" i="20"/>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A227" i="22"/>
  <c r="A228" i="22"/>
  <c r="A229" i="22"/>
  <c r="A230" i="22"/>
  <c r="A231" i="22"/>
  <c r="A232" i="22"/>
  <c r="A233" i="22"/>
  <c r="A234" i="22"/>
  <c r="A235" i="22"/>
  <c r="A236" i="22"/>
  <c r="A237" i="22"/>
  <c r="A238" i="22"/>
  <c r="A239" i="22"/>
  <c r="A240" i="22"/>
  <c r="A241" i="22"/>
  <c r="A242" i="22"/>
  <c r="A243" i="22"/>
  <c r="A244" i="22"/>
  <c r="A310" i="22"/>
  <c r="A311" i="22"/>
  <c r="A313" i="22"/>
  <c r="A314" i="22"/>
  <c r="A315" i="22"/>
  <c r="A316" i="22"/>
  <c r="A317" i="22"/>
  <c r="A319" i="22"/>
  <c r="A320" i="22"/>
  <c r="A321" i="22"/>
  <c r="A322" i="22"/>
  <c r="A323" i="22"/>
  <c r="A325" i="22"/>
  <c r="A326" i="22"/>
  <c r="A327" i="22"/>
  <c r="A328" i="22"/>
  <c r="A329" i="22"/>
  <c r="A331" i="22"/>
  <c r="A332" i="22"/>
  <c r="A333" i="22"/>
  <c r="A334" i="22"/>
  <c r="A335" i="22"/>
  <c r="A336" i="22"/>
  <c r="A337" i="22"/>
  <c r="A338" i="22"/>
  <c r="A340" i="22"/>
  <c r="A341" i="22"/>
  <c r="A342" i="22"/>
  <c r="A343" i="22"/>
  <c r="A344" i="22"/>
  <c r="A345" i="22"/>
  <c r="A246" i="22"/>
  <c r="A247" i="22"/>
  <c r="A248" i="22"/>
  <c r="A249" i="22"/>
  <c r="A250" i="22"/>
  <c r="A251" i="22"/>
  <c r="A252" i="22"/>
  <c r="A253" i="22"/>
  <c r="A254" i="22"/>
  <c r="A256"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6" i="22"/>
  <c r="A287" i="22"/>
  <c r="A288" i="22"/>
  <c r="A289" i="22"/>
  <c r="A290" i="22"/>
  <c r="A291" i="22"/>
  <c r="A292" i="22"/>
  <c r="A293" i="22"/>
  <c r="A294" i="22"/>
  <c r="A295" i="22"/>
  <c r="A296" i="22"/>
  <c r="A297" i="22"/>
  <c r="A299" i="22"/>
  <c r="A300" i="22"/>
  <c r="A301" i="22"/>
  <c r="A302" i="22"/>
  <c r="A303" i="22"/>
  <c r="A304" i="22"/>
  <c r="A305" i="22"/>
  <c r="A306" i="22"/>
  <c r="A307" i="22"/>
  <c r="A308" i="22"/>
  <c r="A171" i="22"/>
  <c r="A172" i="22"/>
  <c r="A173" i="22"/>
  <c r="A174" i="22"/>
  <c r="A175" i="22"/>
  <c r="A176" i="22"/>
  <c r="A177" i="22"/>
  <c r="A178" i="22"/>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A204" i="22"/>
  <c r="A205" i="22"/>
  <c r="A206" i="22"/>
  <c r="A207" i="22"/>
  <c r="A208" i="22"/>
  <c r="A209" i="22"/>
  <c r="A210" i="22"/>
  <c r="A211" i="22"/>
  <c r="A212" i="22"/>
  <c r="A213" i="22"/>
  <c r="A215" i="22"/>
  <c r="A216" i="22"/>
  <c r="A217" i="22"/>
  <c r="A218" i="22"/>
  <c r="A220" i="22"/>
  <c r="A221" i="22"/>
  <c r="A222" i="22"/>
  <c r="A223" i="22"/>
  <c r="A224" i="22"/>
  <c r="A225" i="22"/>
  <c r="A128" i="22"/>
  <c r="A129" i="22"/>
  <c r="A130" i="22"/>
  <c r="A131" i="22"/>
  <c r="A132" i="22"/>
  <c r="A133" i="22"/>
  <c r="A134" i="22"/>
  <c r="A135" i="22"/>
  <c r="A136" i="22"/>
  <c r="A137" i="22"/>
  <c r="A138" i="22"/>
  <c r="A139" i="22"/>
  <c r="A140" i="22"/>
  <c r="A141" i="22"/>
  <c r="A142" i="22"/>
  <c r="A143" i="22"/>
  <c r="A144" i="22"/>
  <c r="A145"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26" i="22"/>
  <c r="A125" i="22"/>
  <c r="A124" i="22"/>
  <c r="A123" i="22"/>
  <c r="A122" i="22"/>
  <c r="A121" i="22"/>
  <c r="A120" i="22"/>
  <c r="A119" i="22"/>
  <c r="A118" i="22"/>
  <c r="A117" i="22"/>
  <c r="A116" i="22"/>
  <c r="A115" i="22"/>
  <c r="A114" i="22"/>
  <c r="A113" i="22"/>
  <c r="A112" i="22"/>
  <c r="A110" i="22"/>
  <c r="A109" i="22"/>
  <c r="A108" i="22"/>
  <c r="A107" i="22"/>
  <c r="A106" i="22"/>
  <c r="A105" i="22"/>
  <c r="A104" i="22"/>
  <c r="A103" i="22"/>
  <c r="A102" i="22"/>
  <c r="A101" i="22"/>
  <c r="A100" i="22"/>
  <c r="A99" i="22"/>
  <c r="A98" i="22"/>
  <c r="A97" i="22"/>
  <c r="A96" i="22"/>
  <c r="A95" i="22"/>
  <c r="A93" i="22"/>
  <c r="A92" i="22"/>
  <c r="A91" i="22"/>
  <c r="A90" i="22"/>
  <c r="A89" i="22"/>
  <c r="A87" i="22"/>
  <c r="A86" i="22"/>
  <c r="A85" i="22"/>
  <c r="A84" i="22"/>
  <c r="A83" i="22"/>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A58" i="22"/>
  <c r="A59" i="22"/>
  <c r="A60" i="22"/>
  <c r="A61" i="22"/>
  <c r="A62" i="22"/>
  <c r="A63" i="22"/>
  <c r="A64" i="22"/>
  <c r="A66" i="22"/>
  <c r="A67" i="22"/>
  <c r="A68" i="22"/>
  <c r="A69" i="22"/>
  <c r="A70" i="22"/>
  <c r="I70" i="22" s="1"/>
  <c r="A72" i="22"/>
  <c r="A73" i="22"/>
  <c r="A74" i="22"/>
  <c r="A75" i="22"/>
  <c r="A76" i="22"/>
  <c r="A77" i="22"/>
  <c r="G39" i="22"/>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M238" i="20" s="1"/>
  <c r="A239" i="20"/>
  <c r="M239" i="20" s="1"/>
  <c r="A240" i="20"/>
  <c r="M240" i="20" s="1"/>
  <c r="A241" i="20"/>
  <c r="M241" i="20" s="1"/>
  <c r="A242" i="20"/>
  <c r="M242" i="20" s="1"/>
  <c r="A243" i="20"/>
  <c r="M243" i="20" s="1"/>
  <c r="A244" i="20"/>
  <c r="M244" i="20" s="1"/>
  <c r="A245" i="20"/>
  <c r="M245" i="20" s="1"/>
  <c r="A246" i="20"/>
  <c r="M246" i="20" s="1"/>
  <c r="A247" i="20"/>
  <c r="M247" i="20" s="1"/>
  <c r="A248" i="20"/>
  <c r="M248" i="20" s="1"/>
  <c r="A249" i="20"/>
  <c r="M249" i="20" s="1"/>
  <c r="A250" i="20"/>
  <c r="M250" i="20" s="1"/>
  <c r="A251" i="20"/>
  <c r="M251" i="20" s="1"/>
  <c r="A252" i="20"/>
  <c r="M252" i="20" s="1"/>
  <c r="A253" i="20"/>
  <c r="M253" i="20" s="1"/>
  <c r="A254" i="20"/>
  <c r="M254" i="20" s="1"/>
  <c r="A255" i="20"/>
  <c r="M255" i="20" s="1"/>
  <c r="A256" i="20"/>
  <c r="M256" i="20" s="1"/>
  <c r="A257" i="20"/>
  <c r="M257" i="20" s="1"/>
  <c r="A258" i="20"/>
  <c r="M258" i="20" s="1"/>
  <c r="A259" i="20"/>
  <c r="M259" i="20" s="1"/>
  <c r="A260" i="20"/>
  <c r="M260" i="20" s="1"/>
  <c r="A261" i="20"/>
  <c r="M261" i="20" s="1"/>
  <c r="A262" i="20"/>
  <c r="M262" i="20" s="1"/>
  <c r="A263" i="20"/>
  <c r="M263" i="20" s="1"/>
  <c r="A264" i="20"/>
  <c r="M264" i="20" s="1"/>
  <c r="A265" i="20"/>
  <c r="M265" i="20" s="1"/>
  <c r="A266" i="20"/>
  <c r="M266" i="20" s="1"/>
  <c r="A267" i="20"/>
  <c r="M267" i="20" s="1"/>
  <c r="A268" i="20"/>
  <c r="M268" i="20" s="1"/>
  <c r="A269" i="20"/>
  <c r="M269" i="20" s="1"/>
  <c r="A270" i="20"/>
  <c r="M270" i="20" s="1"/>
  <c r="A271" i="20"/>
  <c r="M271" i="20" s="1"/>
  <c r="A272" i="20"/>
  <c r="M272" i="20" s="1"/>
  <c r="A273" i="20"/>
  <c r="M273" i="20" s="1"/>
  <c r="A274" i="20"/>
  <c r="M274" i="20" s="1"/>
  <c r="A275" i="20"/>
  <c r="M275" i="20" s="1"/>
  <c r="A276" i="20"/>
  <c r="M276" i="20" s="1"/>
  <c r="A277" i="20"/>
  <c r="M277" i="20" s="1"/>
  <c r="A278" i="20"/>
  <c r="M278" i="20" s="1"/>
  <c r="A279" i="20"/>
  <c r="M279" i="20" s="1"/>
  <c r="A280" i="20"/>
  <c r="M280" i="20" s="1"/>
  <c r="A281" i="20"/>
  <c r="M281" i="20" s="1"/>
  <c r="A282" i="20"/>
  <c r="M282" i="20" s="1"/>
  <c r="A283" i="20"/>
  <c r="M283" i="20" s="1"/>
  <c r="A284" i="20"/>
  <c r="M284" i="20" s="1"/>
  <c r="A285" i="20"/>
  <c r="M285" i="20" s="1"/>
  <c r="A286" i="20"/>
  <c r="M286" i="20" s="1"/>
  <c r="A287" i="20"/>
  <c r="M287" i="20" s="1"/>
  <c r="A288" i="20"/>
  <c r="M288" i="20" s="1"/>
  <c r="A289" i="20"/>
  <c r="M289" i="20" s="1"/>
  <c r="A290" i="20"/>
  <c r="M290" i="20" s="1"/>
  <c r="A291" i="20"/>
  <c r="M291" i="20" s="1"/>
  <c r="A292" i="20"/>
  <c r="M292" i="20" s="1"/>
  <c r="A293" i="20"/>
  <c r="M293" i="20" s="1"/>
  <c r="A294" i="20"/>
  <c r="M294" i="20" s="1"/>
  <c r="A295" i="20"/>
  <c r="M295" i="20" s="1"/>
  <c r="A296" i="20"/>
  <c r="M296" i="20" s="1"/>
  <c r="A297" i="20"/>
  <c r="M297" i="20" s="1"/>
  <c r="A298" i="20"/>
  <c r="M298" i="20" s="1"/>
  <c r="A299" i="20"/>
  <c r="M299" i="20" s="1"/>
  <c r="A300" i="20"/>
  <c r="M300" i="20" s="1"/>
  <c r="A301" i="20"/>
  <c r="M301" i="20" s="1"/>
  <c r="A302" i="20"/>
  <c r="M302" i="20" s="1"/>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D78" i="22" l="1"/>
  <c r="E78" i="22"/>
  <c r="E79" i="22"/>
  <c r="D79" i="22"/>
  <c r="P24" i="20"/>
  <c r="M11" i="20"/>
  <c r="Q11" i="20" s="1"/>
  <c r="M10" i="20"/>
  <c r="Q10" i="20" s="1"/>
  <c r="M9" i="20"/>
  <c r="Q9" i="20" s="1"/>
  <c r="M8" i="20"/>
  <c r="Q8" i="20" s="1"/>
  <c r="I308" i="22"/>
  <c r="G308" i="22"/>
  <c r="G130" i="22"/>
  <c r="I130" i="22"/>
  <c r="I137" i="22"/>
  <c r="G137" i="22"/>
  <c r="G247" i="22"/>
  <c r="I247" i="22"/>
  <c r="D58" i="22"/>
  <c r="E58" i="22"/>
  <c r="I58" i="22"/>
  <c r="I5" i="20" s="1"/>
  <c r="K5" i="20" s="1"/>
  <c r="G58" i="22"/>
  <c r="G5" i="20" s="1"/>
  <c r="I230" i="22"/>
  <c r="G230" i="22"/>
  <c r="G183" i="22"/>
  <c r="I183" i="22"/>
  <c r="A127" i="22"/>
  <c r="I128" i="22"/>
  <c r="G128" i="22"/>
  <c r="I288" i="22"/>
  <c r="G288" i="22"/>
  <c r="I287" i="22"/>
  <c r="G287" i="22"/>
  <c r="I280" i="22"/>
  <c r="G280" i="22"/>
  <c r="I150" i="22"/>
  <c r="G150" i="22"/>
  <c r="G205" i="22"/>
  <c r="I205" i="22"/>
  <c r="I301" i="22"/>
  <c r="G301" i="22"/>
  <c r="G279" i="22"/>
  <c r="I279" i="22"/>
  <c r="I229" i="22"/>
  <c r="G229" i="22"/>
  <c r="I149" i="22"/>
  <c r="G149" i="22"/>
  <c r="I182" i="22"/>
  <c r="G182" i="22"/>
  <c r="G300" i="22"/>
  <c r="I300" i="22"/>
  <c r="I278" i="22"/>
  <c r="G278" i="22"/>
  <c r="I258" i="22"/>
  <c r="G258" i="22"/>
  <c r="G77" i="22"/>
  <c r="I77" i="22"/>
  <c r="I168" i="22"/>
  <c r="G168" i="22"/>
  <c r="I148" i="22"/>
  <c r="G148" i="22"/>
  <c r="I225" i="22"/>
  <c r="G225" i="22"/>
  <c r="G203" i="22"/>
  <c r="I203" i="22"/>
  <c r="I181" i="22"/>
  <c r="G181" i="22"/>
  <c r="I299" i="22"/>
  <c r="G299" i="22"/>
  <c r="I277" i="22"/>
  <c r="G277" i="22"/>
  <c r="I257" i="22"/>
  <c r="G257" i="22"/>
  <c r="A226" i="22"/>
  <c r="G227" i="22"/>
  <c r="I227" i="22"/>
  <c r="I76" i="22"/>
  <c r="G76" i="22"/>
  <c r="I167" i="22"/>
  <c r="G167" i="22"/>
  <c r="I147" i="22"/>
  <c r="G147" i="22"/>
  <c r="I224" i="22"/>
  <c r="G224" i="22"/>
  <c r="I201" i="22"/>
  <c r="G201" i="22"/>
  <c r="E201" i="22"/>
  <c r="D201" i="22"/>
  <c r="I180" i="22"/>
  <c r="G180" i="22"/>
  <c r="I297" i="22"/>
  <c r="G297" i="22"/>
  <c r="I276" i="22"/>
  <c r="G276" i="22"/>
  <c r="I256" i="22"/>
  <c r="G256" i="22"/>
  <c r="G67" i="22"/>
  <c r="I67" i="22"/>
  <c r="G213" i="22"/>
  <c r="I213" i="22"/>
  <c r="A245" i="22"/>
  <c r="I246" i="22"/>
  <c r="G246" i="22"/>
  <c r="I260" i="22"/>
  <c r="G260" i="22"/>
  <c r="D57" i="22"/>
  <c r="I57" i="22"/>
  <c r="I4" i="20" s="1"/>
  <c r="K4" i="20" s="1"/>
  <c r="G57" i="22"/>
  <c r="G4" i="20" s="1"/>
  <c r="E57" i="22"/>
  <c r="I204" i="22"/>
  <c r="G204" i="22"/>
  <c r="G228" i="22"/>
  <c r="I228" i="22"/>
  <c r="I75" i="22"/>
  <c r="G75" i="22"/>
  <c r="G166" i="22"/>
  <c r="I166" i="22"/>
  <c r="G145" i="22"/>
  <c r="I145" i="22"/>
  <c r="I223" i="22"/>
  <c r="G223" i="22"/>
  <c r="I200" i="22"/>
  <c r="G200" i="22"/>
  <c r="E200" i="22"/>
  <c r="D200" i="22"/>
  <c r="I179" i="22"/>
  <c r="G179" i="22"/>
  <c r="I296" i="22"/>
  <c r="G296" i="22"/>
  <c r="I275" i="22"/>
  <c r="G275" i="22"/>
  <c r="I254" i="22"/>
  <c r="G254" i="22"/>
  <c r="A214" i="22"/>
  <c r="I215" i="22"/>
  <c r="G215" i="22"/>
  <c r="I157" i="22"/>
  <c r="G157" i="22"/>
  <c r="I151" i="22"/>
  <c r="G151" i="22"/>
  <c r="I206" i="22"/>
  <c r="G206" i="22"/>
  <c r="G302" i="22"/>
  <c r="I302" i="22"/>
  <c r="I129" i="22"/>
  <c r="G129" i="22"/>
  <c r="G259" i="22"/>
  <c r="I259" i="22"/>
  <c r="D56" i="22"/>
  <c r="E56" i="22"/>
  <c r="I56" i="22"/>
  <c r="I3" i="20" s="1"/>
  <c r="K3" i="20" s="1"/>
  <c r="G56" i="22"/>
  <c r="G3" i="20" s="1"/>
  <c r="I169" i="22"/>
  <c r="G169" i="22"/>
  <c r="G74" i="22"/>
  <c r="I74" i="22"/>
  <c r="G165" i="22"/>
  <c r="I165" i="22"/>
  <c r="G144" i="22"/>
  <c r="I144" i="22"/>
  <c r="I222" i="22"/>
  <c r="G222" i="22"/>
  <c r="I199" i="22"/>
  <c r="G199" i="22"/>
  <c r="E199" i="22"/>
  <c r="D199" i="22"/>
  <c r="I178" i="22"/>
  <c r="G178" i="22"/>
  <c r="G295" i="22"/>
  <c r="I295" i="22"/>
  <c r="I274" i="22"/>
  <c r="G274" i="22"/>
  <c r="I253" i="22"/>
  <c r="G253" i="22"/>
  <c r="I244" i="22"/>
  <c r="G244" i="22"/>
  <c r="I243" i="22"/>
  <c r="G243" i="22"/>
  <c r="G267" i="22"/>
  <c r="I267" i="22"/>
  <c r="A170" i="22"/>
  <c r="G171" i="22"/>
  <c r="I171" i="22"/>
  <c r="I136" i="22"/>
  <c r="G136" i="22"/>
  <c r="I184" i="22"/>
  <c r="G184" i="22"/>
  <c r="G294" i="22"/>
  <c r="I294" i="22"/>
  <c r="G70" i="22"/>
  <c r="G162" i="22"/>
  <c r="I162" i="22"/>
  <c r="G141" i="22"/>
  <c r="I141" i="22"/>
  <c r="I175" i="22"/>
  <c r="G175" i="22"/>
  <c r="I292" i="22"/>
  <c r="G292" i="22"/>
  <c r="I271" i="22"/>
  <c r="G271" i="22"/>
  <c r="I250" i="22"/>
  <c r="G250" i="22"/>
  <c r="G241" i="22"/>
  <c r="I241" i="22"/>
  <c r="D64" i="22"/>
  <c r="E64" i="22"/>
  <c r="G64" i="22"/>
  <c r="G11" i="20" s="1"/>
  <c r="I64" i="22"/>
  <c r="I11" i="20" s="1"/>
  <c r="K11" i="20" s="1"/>
  <c r="I266" i="22"/>
  <c r="G266" i="22"/>
  <c r="D63" i="22"/>
  <c r="E63" i="22"/>
  <c r="I63" i="22"/>
  <c r="I10" i="20" s="1"/>
  <c r="K10" i="20" s="1"/>
  <c r="G63" i="22"/>
  <c r="G10" i="20" s="1"/>
  <c r="G73" i="22"/>
  <c r="I73" i="22"/>
  <c r="I143" i="22"/>
  <c r="G143" i="22"/>
  <c r="G198" i="22"/>
  <c r="I198" i="22"/>
  <c r="E198" i="22"/>
  <c r="D198" i="22"/>
  <c r="G177" i="22"/>
  <c r="I177" i="22"/>
  <c r="G273" i="22"/>
  <c r="I273" i="22"/>
  <c r="G252" i="22"/>
  <c r="I252" i="22"/>
  <c r="I72" i="22"/>
  <c r="G72" i="22"/>
  <c r="G142" i="22"/>
  <c r="I142" i="22"/>
  <c r="G220" i="22"/>
  <c r="I220" i="22"/>
  <c r="I197" i="22"/>
  <c r="G197" i="22"/>
  <c r="E197" i="22"/>
  <c r="D197" i="22"/>
  <c r="I293" i="22"/>
  <c r="G293" i="22"/>
  <c r="I218" i="22"/>
  <c r="G218" i="22"/>
  <c r="M3" i="20"/>
  <c r="Q3" i="20" s="1"/>
  <c r="I69" i="22"/>
  <c r="G69" i="22"/>
  <c r="G161" i="22"/>
  <c r="I161" i="22"/>
  <c r="I140" i="22"/>
  <c r="G140" i="22"/>
  <c r="I217" i="22"/>
  <c r="G217" i="22"/>
  <c r="I195" i="22"/>
  <c r="G195" i="22"/>
  <c r="E195" i="22"/>
  <c r="D195" i="22"/>
  <c r="I174" i="22"/>
  <c r="G174" i="22"/>
  <c r="G291" i="22"/>
  <c r="I291" i="22"/>
  <c r="I270" i="22"/>
  <c r="G270" i="22"/>
  <c r="I249" i="22"/>
  <c r="G249" i="22"/>
  <c r="I240" i="22"/>
  <c r="G240" i="22"/>
  <c r="I158" i="22"/>
  <c r="G158" i="22"/>
  <c r="I212" i="22"/>
  <c r="G212" i="22"/>
  <c r="I164" i="22"/>
  <c r="G164" i="22"/>
  <c r="G221" i="22"/>
  <c r="I221" i="22"/>
  <c r="I163" i="22"/>
  <c r="G163" i="22"/>
  <c r="G176" i="22"/>
  <c r="I176" i="22"/>
  <c r="G272" i="22"/>
  <c r="I272" i="22"/>
  <c r="G251" i="22"/>
  <c r="I251" i="22"/>
  <c r="G242" i="22"/>
  <c r="I242" i="22"/>
  <c r="I196" i="22"/>
  <c r="G196" i="22"/>
  <c r="E196" i="22"/>
  <c r="D196" i="22"/>
  <c r="I68" i="22"/>
  <c r="G68" i="22"/>
  <c r="I160" i="22"/>
  <c r="G160" i="22"/>
  <c r="I139" i="22"/>
  <c r="G139" i="22"/>
  <c r="G216" i="22"/>
  <c r="I216" i="22"/>
  <c r="G194" i="22"/>
  <c r="I194" i="22"/>
  <c r="E194" i="22"/>
  <c r="D194" i="22"/>
  <c r="G173" i="22"/>
  <c r="I173" i="22"/>
  <c r="G290" i="22"/>
  <c r="I290" i="22"/>
  <c r="G269" i="22"/>
  <c r="I269" i="22"/>
  <c r="I239" i="22"/>
  <c r="G239" i="22"/>
  <c r="G193" i="22"/>
  <c r="I193" i="22"/>
  <c r="E193" i="22"/>
  <c r="D193" i="22"/>
  <c r="I172" i="22"/>
  <c r="G172" i="22"/>
  <c r="I289" i="22"/>
  <c r="G289" i="22"/>
  <c r="G268" i="22"/>
  <c r="I268" i="22"/>
  <c r="I248" i="22"/>
  <c r="G248" i="22"/>
  <c r="G238" i="22"/>
  <c r="I238" i="22"/>
  <c r="G192" i="22"/>
  <c r="I192" i="22"/>
  <c r="E192" i="22"/>
  <c r="D192" i="22"/>
  <c r="G237" i="22"/>
  <c r="I237" i="22"/>
  <c r="I138" i="22"/>
  <c r="G138" i="22"/>
  <c r="G236" i="22"/>
  <c r="I236" i="22"/>
  <c r="G156" i="22"/>
  <c r="I156" i="22"/>
  <c r="I211" i="22"/>
  <c r="G211" i="22"/>
  <c r="I190" i="22"/>
  <c r="G190" i="22"/>
  <c r="E190" i="22"/>
  <c r="D190" i="22"/>
  <c r="I307" i="22"/>
  <c r="G307" i="22"/>
  <c r="G286" i="22"/>
  <c r="I286" i="22"/>
  <c r="I265" i="22"/>
  <c r="G265" i="22"/>
  <c r="I235" i="22"/>
  <c r="G235" i="22"/>
  <c r="I159" i="22"/>
  <c r="G159" i="22"/>
  <c r="I210" i="22"/>
  <c r="G210" i="22"/>
  <c r="D62" i="22"/>
  <c r="I62" i="22"/>
  <c r="I9" i="20" s="1"/>
  <c r="K9" i="20" s="1"/>
  <c r="G62" i="22"/>
  <c r="G9" i="20" s="1"/>
  <c r="E62" i="22"/>
  <c r="I154" i="22"/>
  <c r="G154" i="22"/>
  <c r="I133" i="22"/>
  <c r="G133" i="22"/>
  <c r="G209" i="22"/>
  <c r="I209" i="22"/>
  <c r="G188" i="22"/>
  <c r="I188" i="22"/>
  <c r="E188" i="22"/>
  <c r="D188" i="22"/>
  <c r="G305" i="22"/>
  <c r="I305" i="22"/>
  <c r="I283" i="22"/>
  <c r="G283" i="22"/>
  <c r="G263" i="22"/>
  <c r="I263" i="22"/>
  <c r="I233" i="22"/>
  <c r="G233" i="22"/>
  <c r="I191" i="22"/>
  <c r="G191" i="22"/>
  <c r="E191" i="22"/>
  <c r="D191" i="22"/>
  <c r="G135" i="22"/>
  <c r="I135" i="22"/>
  <c r="M7" i="20"/>
  <c r="Q7" i="20" s="1"/>
  <c r="D60" i="22"/>
  <c r="I60" i="22"/>
  <c r="I7" i="20" s="1"/>
  <c r="K7" i="20" s="1"/>
  <c r="E60" i="22"/>
  <c r="G60" i="22"/>
  <c r="G7" i="20" s="1"/>
  <c r="G232" i="22"/>
  <c r="I232" i="22"/>
  <c r="G66" i="22"/>
  <c r="I66" i="22"/>
  <c r="I155" i="22"/>
  <c r="G155" i="22"/>
  <c r="I134" i="22"/>
  <c r="G134" i="22"/>
  <c r="I189" i="22"/>
  <c r="G189" i="22"/>
  <c r="E189" i="22"/>
  <c r="D189" i="22"/>
  <c r="G306" i="22"/>
  <c r="I306" i="22"/>
  <c r="I284" i="22"/>
  <c r="G284" i="22"/>
  <c r="I264" i="22"/>
  <c r="G264" i="22"/>
  <c r="I234" i="22"/>
  <c r="G234" i="22"/>
  <c r="M6" i="20"/>
  <c r="Q6" i="20" s="1"/>
  <c r="D61" i="22"/>
  <c r="E61" i="22"/>
  <c r="I61" i="22"/>
  <c r="I8" i="20" s="1"/>
  <c r="K8" i="20" s="1"/>
  <c r="G61" i="22"/>
  <c r="G8" i="20" s="1"/>
  <c r="M5" i="20"/>
  <c r="Q5" i="20" s="1"/>
  <c r="I153" i="22"/>
  <c r="G153" i="22"/>
  <c r="I132" i="22"/>
  <c r="G132" i="22"/>
  <c r="G208" i="22"/>
  <c r="I208" i="22"/>
  <c r="G187" i="22"/>
  <c r="I187" i="22"/>
  <c r="E187" i="22"/>
  <c r="D187" i="22"/>
  <c r="I304" i="22"/>
  <c r="G304" i="22"/>
  <c r="I282" i="22"/>
  <c r="G282" i="22"/>
  <c r="G262" i="22"/>
  <c r="I262" i="22"/>
  <c r="M4" i="20"/>
  <c r="Q4" i="20" s="1"/>
  <c r="D59" i="22"/>
  <c r="G59" i="22"/>
  <c r="G6" i="20" s="1"/>
  <c r="I59" i="22"/>
  <c r="I6" i="20" s="1"/>
  <c r="K6" i="20" s="1"/>
  <c r="E59" i="22"/>
  <c r="G152" i="22"/>
  <c r="I152" i="22"/>
  <c r="G131" i="22"/>
  <c r="I131" i="22"/>
  <c r="I207" i="22"/>
  <c r="G207" i="22"/>
  <c r="I186" i="22"/>
  <c r="G186" i="22"/>
  <c r="E186" i="22"/>
  <c r="D186" i="22"/>
  <c r="I303" i="22"/>
  <c r="G303" i="22"/>
  <c r="I281" i="22"/>
  <c r="G281" i="22"/>
  <c r="I261" i="22"/>
  <c r="G261" i="22"/>
  <c r="G231" i="22"/>
  <c r="I231" i="22"/>
  <c r="D110" i="25"/>
  <c r="D58" i="25"/>
  <c r="D101" i="25"/>
  <c r="D109" i="25"/>
  <c r="D106" i="25"/>
  <c r="D99" i="25"/>
  <c r="D102" i="25"/>
  <c r="D84" i="25"/>
  <c r="D108" i="25"/>
  <c r="D103" i="25"/>
  <c r="D95" i="25"/>
  <c r="D104" i="25"/>
  <c r="D100" i="25"/>
  <c r="D105" i="25"/>
  <c r="D107" i="25"/>
  <c r="I81" i="22"/>
  <c r="G81" i="22"/>
  <c r="E81" i="22"/>
  <c r="D81" i="22"/>
  <c r="I103" i="22"/>
  <c r="G103" i="22"/>
  <c r="I124" i="22"/>
  <c r="G124" i="22"/>
  <c r="I83" i="22"/>
  <c r="G83" i="22"/>
  <c r="I84" i="22"/>
  <c r="G84" i="22"/>
  <c r="I106" i="22"/>
  <c r="G106" i="22"/>
  <c r="G85" i="22"/>
  <c r="I85" i="22"/>
  <c r="G107" i="22"/>
  <c r="I107" i="22"/>
  <c r="I86" i="22"/>
  <c r="G86" i="22"/>
  <c r="I108" i="22"/>
  <c r="G108" i="22"/>
  <c r="I87" i="22"/>
  <c r="G87" i="22"/>
  <c r="I109" i="22"/>
  <c r="G109" i="22"/>
  <c r="I89" i="22"/>
  <c r="G89" i="22"/>
  <c r="I110" i="22"/>
  <c r="G110" i="22"/>
  <c r="G90" i="22"/>
  <c r="I90" i="22"/>
  <c r="G112" i="22"/>
  <c r="I112" i="22"/>
  <c r="D126" i="22"/>
  <c r="I126" i="22"/>
  <c r="G126" i="22"/>
  <c r="I91" i="22"/>
  <c r="G91" i="22"/>
  <c r="I113" i="22"/>
  <c r="G113" i="22"/>
  <c r="I105" i="22"/>
  <c r="G105" i="22"/>
  <c r="I92" i="22"/>
  <c r="G92" i="22"/>
  <c r="I114" i="22"/>
  <c r="G114" i="22"/>
  <c r="I82" i="22"/>
  <c r="G82" i="22"/>
  <c r="I93" i="22"/>
  <c r="G93" i="22"/>
  <c r="I115" i="22"/>
  <c r="G115" i="22"/>
  <c r="I95" i="22"/>
  <c r="G95" i="22"/>
  <c r="I116" i="22"/>
  <c r="G116" i="22"/>
  <c r="D96" i="22"/>
  <c r="I96" i="22"/>
  <c r="G96" i="22"/>
  <c r="I117" i="22"/>
  <c r="G117" i="22"/>
  <c r="G97" i="22"/>
  <c r="D97" i="22"/>
  <c r="I97" i="22"/>
  <c r="I118" i="22"/>
  <c r="G118" i="22"/>
  <c r="I98" i="22"/>
  <c r="G98" i="22"/>
  <c r="I119" i="22"/>
  <c r="G119" i="22"/>
  <c r="I99" i="22"/>
  <c r="G99" i="22"/>
  <c r="I120" i="22"/>
  <c r="G120" i="22"/>
  <c r="I125" i="22"/>
  <c r="G125" i="22"/>
  <c r="I100" i="22"/>
  <c r="G100" i="22"/>
  <c r="I121" i="22"/>
  <c r="G121" i="22"/>
  <c r="G101" i="22"/>
  <c r="I101" i="22"/>
  <c r="I122" i="22"/>
  <c r="G122" i="22"/>
  <c r="I104" i="22"/>
  <c r="G104" i="22"/>
  <c r="I102" i="22"/>
  <c r="G102" i="22"/>
  <c r="I123" i="22"/>
  <c r="G123" i="22"/>
  <c r="E75" i="25"/>
  <c r="D75" i="25"/>
  <c r="I341" i="22"/>
  <c r="G341" i="22"/>
  <c r="I317" i="22"/>
  <c r="G317" i="22"/>
  <c r="I340" i="22"/>
  <c r="G340" i="22"/>
  <c r="I316" i="22"/>
  <c r="G316" i="22"/>
  <c r="I315" i="22"/>
  <c r="G315" i="22"/>
  <c r="I319" i="22"/>
  <c r="G319" i="22"/>
  <c r="I338" i="22"/>
  <c r="G338" i="22"/>
  <c r="I337" i="22"/>
  <c r="G337" i="22"/>
  <c r="I314" i="22"/>
  <c r="G314" i="22"/>
  <c r="I336" i="22"/>
  <c r="G336" i="22"/>
  <c r="A312" i="22"/>
  <c r="I313" i="22"/>
  <c r="G313" i="22"/>
  <c r="I335" i="22"/>
  <c r="G335" i="22"/>
  <c r="I311" i="22"/>
  <c r="G311" i="22"/>
  <c r="I334" i="22"/>
  <c r="G334" i="22"/>
  <c r="A309" i="22"/>
  <c r="I310" i="22"/>
  <c r="G310" i="22"/>
  <c r="I333" i="22"/>
  <c r="G333" i="22"/>
  <c r="I332" i="22"/>
  <c r="G332" i="22"/>
  <c r="A330" i="22"/>
  <c r="I331" i="22"/>
  <c r="G331" i="22"/>
  <c r="I329" i="22"/>
  <c r="G329" i="22"/>
  <c r="I328" i="22"/>
  <c r="G328" i="22"/>
  <c r="I327" i="22"/>
  <c r="G327" i="22"/>
  <c r="I326" i="22"/>
  <c r="G326" i="22"/>
  <c r="I323" i="22"/>
  <c r="G323" i="22"/>
  <c r="I345" i="22"/>
  <c r="G345" i="22"/>
  <c r="I322" i="22"/>
  <c r="G322" i="22"/>
  <c r="I325" i="22"/>
  <c r="G325" i="22"/>
  <c r="I344" i="22"/>
  <c r="G344" i="22"/>
  <c r="I321" i="22"/>
  <c r="G321" i="22"/>
  <c r="I343" i="22"/>
  <c r="G343" i="22"/>
  <c r="I320" i="22"/>
  <c r="G320" i="22"/>
  <c r="I342" i="22"/>
  <c r="G342" i="22"/>
  <c r="H3" i="20"/>
  <c r="J3" i="20"/>
  <c r="J302" i="20"/>
  <c r="I302" i="20"/>
  <c r="K302" i="20" s="1"/>
  <c r="H302" i="20"/>
  <c r="G302" i="20"/>
  <c r="J278" i="20"/>
  <c r="I278" i="20"/>
  <c r="K278" i="20" s="1"/>
  <c r="H278" i="20"/>
  <c r="G278" i="20"/>
  <c r="J254" i="20"/>
  <c r="I254" i="20"/>
  <c r="K254" i="20" s="1"/>
  <c r="H254" i="20"/>
  <c r="G254" i="20"/>
  <c r="H293" i="20"/>
  <c r="G293" i="20"/>
  <c r="J293" i="20"/>
  <c r="I293" i="20"/>
  <c r="K293" i="20" s="1"/>
  <c r="H261" i="20"/>
  <c r="G261" i="20"/>
  <c r="J261" i="20"/>
  <c r="I261" i="20"/>
  <c r="K261" i="20" s="1"/>
  <c r="J292" i="20"/>
  <c r="I292" i="20"/>
  <c r="K292" i="20" s="1"/>
  <c r="H292" i="20"/>
  <c r="G292" i="20"/>
  <c r="J276" i="20"/>
  <c r="I276" i="20"/>
  <c r="K276" i="20" s="1"/>
  <c r="H276" i="20"/>
  <c r="G276" i="20"/>
  <c r="J260" i="20"/>
  <c r="I260" i="20"/>
  <c r="K260" i="20" s="1"/>
  <c r="H260" i="20"/>
  <c r="G260" i="20"/>
  <c r="J244" i="20"/>
  <c r="I244" i="20"/>
  <c r="K244" i="20" s="1"/>
  <c r="H244" i="20"/>
  <c r="G244" i="20"/>
  <c r="H11" i="20"/>
  <c r="J11" i="20"/>
  <c r="J286" i="20"/>
  <c r="I286" i="20"/>
  <c r="K286" i="20" s="1"/>
  <c r="H286" i="20"/>
  <c r="G286" i="20"/>
  <c r="J246" i="20"/>
  <c r="I246" i="20"/>
  <c r="K246" i="20" s="1"/>
  <c r="H246" i="20"/>
  <c r="G246" i="20"/>
  <c r="H301" i="20"/>
  <c r="J301" i="20"/>
  <c r="I301" i="20"/>
  <c r="K301" i="20" s="1"/>
  <c r="G301" i="20"/>
  <c r="H277" i="20"/>
  <c r="J277" i="20"/>
  <c r="I277" i="20"/>
  <c r="K277" i="20" s="1"/>
  <c r="G277" i="20"/>
  <c r="J300" i="20"/>
  <c r="I300" i="20"/>
  <c r="K300" i="20" s="1"/>
  <c r="H300" i="20"/>
  <c r="G300" i="20"/>
  <c r="J284" i="20"/>
  <c r="I284" i="20"/>
  <c r="K284" i="20" s="1"/>
  <c r="H284" i="20"/>
  <c r="G284" i="20"/>
  <c r="J268" i="20"/>
  <c r="I268" i="20"/>
  <c r="K268" i="20" s="1"/>
  <c r="H268" i="20"/>
  <c r="G268" i="20"/>
  <c r="J252" i="20"/>
  <c r="I252" i="20"/>
  <c r="K252" i="20" s="1"/>
  <c r="H252" i="20"/>
  <c r="G252" i="20"/>
  <c r="H299" i="20"/>
  <c r="J299" i="20"/>
  <c r="I299" i="20"/>
  <c r="K299" i="20" s="1"/>
  <c r="G299" i="20"/>
  <c r="H291" i="20"/>
  <c r="I291" i="20"/>
  <c r="K291" i="20" s="1"/>
  <c r="G291" i="20"/>
  <c r="J291" i="20"/>
  <c r="H283" i="20"/>
  <c r="J283" i="20"/>
  <c r="I283" i="20"/>
  <c r="K283" i="20" s="1"/>
  <c r="G283" i="20"/>
  <c r="H275" i="20"/>
  <c r="I275" i="20"/>
  <c r="K275" i="20" s="1"/>
  <c r="G275" i="20"/>
  <c r="J275" i="20"/>
  <c r="H267" i="20"/>
  <c r="J267" i="20"/>
  <c r="I267" i="20"/>
  <c r="K267" i="20" s="1"/>
  <c r="G267" i="20"/>
  <c r="H259" i="20"/>
  <c r="I259" i="20"/>
  <c r="K259" i="20" s="1"/>
  <c r="G259" i="20"/>
  <c r="J259" i="20"/>
  <c r="H251" i="20"/>
  <c r="J251" i="20"/>
  <c r="I251" i="20"/>
  <c r="K251" i="20" s="1"/>
  <c r="G251" i="20"/>
  <c r="H243" i="20"/>
  <c r="I243" i="20"/>
  <c r="K243" i="20" s="1"/>
  <c r="G243" i="20"/>
  <c r="J243" i="20"/>
  <c r="H10" i="20"/>
  <c r="J10" i="20"/>
  <c r="J294" i="20"/>
  <c r="I294" i="20"/>
  <c r="K294" i="20" s="1"/>
  <c r="H294" i="20"/>
  <c r="G294" i="20"/>
  <c r="J262" i="20"/>
  <c r="I262" i="20"/>
  <c r="K262" i="20" s="1"/>
  <c r="H262" i="20"/>
  <c r="G262" i="20"/>
  <c r="J238" i="20"/>
  <c r="I238" i="20"/>
  <c r="K238" i="20" s="1"/>
  <c r="H238" i="20"/>
  <c r="G238" i="20"/>
  <c r="H5" i="20"/>
  <c r="J5" i="20"/>
  <c r="H285" i="20"/>
  <c r="J285" i="20"/>
  <c r="I285" i="20"/>
  <c r="K285" i="20" s="1"/>
  <c r="G285" i="20"/>
  <c r="H269" i="20"/>
  <c r="J269" i="20"/>
  <c r="I269" i="20"/>
  <c r="K269" i="20" s="1"/>
  <c r="G269" i="20"/>
  <c r="H245" i="20"/>
  <c r="J245" i="20"/>
  <c r="I245" i="20"/>
  <c r="K245" i="20" s="1"/>
  <c r="G245" i="20"/>
  <c r="J298" i="20"/>
  <c r="I298" i="20"/>
  <c r="K298" i="20" s="1"/>
  <c r="H298" i="20"/>
  <c r="G298" i="20"/>
  <c r="J282" i="20"/>
  <c r="I282" i="20"/>
  <c r="K282" i="20" s="1"/>
  <c r="H282" i="20"/>
  <c r="G282" i="20"/>
  <c r="J274" i="20"/>
  <c r="I274" i="20"/>
  <c r="K274" i="20" s="1"/>
  <c r="H274" i="20"/>
  <c r="G274" i="20"/>
  <c r="J266" i="20"/>
  <c r="I266" i="20"/>
  <c r="K266" i="20" s="1"/>
  <c r="H266" i="20"/>
  <c r="G266" i="20"/>
  <c r="J258" i="20"/>
  <c r="I258" i="20"/>
  <c r="K258" i="20" s="1"/>
  <c r="H258" i="20"/>
  <c r="G258" i="20"/>
  <c r="J250" i="20"/>
  <c r="I250" i="20"/>
  <c r="K250" i="20" s="1"/>
  <c r="H250" i="20"/>
  <c r="G250" i="20"/>
  <c r="J242" i="20"/>
  <c r="I242" i="20"/>
  <c r="K242" i="20" s="1"/>
  <c r="H242" i="20"/>
  <c r="G242" i="20"/>
  <c r="J9" i="20"/>
  <c r="H9" i="20"/>
  <c r="H289" i="20"/>
  <c r="J289" i="20"/>
  <c r="I289" i="20"/>
  <c r="K289" i="20" s="1"/>
  <c r="G289" i="20"/>
  <c r="H281" i="20"/>
  <c r="G281" i="20"/>
  <c r="J281" i="20"/>
  <c r="I281" i="20"/>
  <c r="K281" i="20" s="1"/>
  <c r="H265" i="20"/>
  <c r="G265" i="20"/>
  <c r="J265" i="20"/>
  <c r="I265" i="20"/>
  <c r="K265" i="20" s="1"/>
  <c r="H249" i="20"/>
  <c r="G249" i="20"/>
  <c r="J249" i="20"/>
  <c r="I249" i="20"/>
  <c r="K249" i="20" s="1"/>
  <c r="H8" i="20"/>
  <c r="J8" i="20"/>
  <c r="J296" i="20"/>
  <c r="I296" i="20"/>
  <c r="K296" i="20" s="1"/>
  <c r="H296" i="20"/>
  <c r="G296" i="20"/>
  <c r="J288" i="20"/>
  <c r="I288" i="20"/>
  <c r="K288" i="20" s="1"/>
  <c r="H288" i="20"/>
  <c r="G288" i="20"/>
  <c r="J280" i="20"/>
  <c r="I280" i="20"/>
  <c r="K280" i="20" s="1"/>
  <c r="H280" i="20"/>
  <c r="G280" i="20"/>
  <c r="J272" i="20"/>
  <c r="I272" i="20"/>
  <c r="K272" i="20" s="1"/>
  <c r="H272" i="20"/>
  <c r="G272" i="20"/>
  <c r="J264" i="20"/>
  <c r="I264" i="20"/>
  <c r="K264" i="20" s="1"/>
  <c r="H264" i="20"/>
  <c r="G264" i="20"/>
  <c r="J256" i="20"/>
  <c r="I256" i="20"/>
  <c r="K256" i="20" s="1"/>
  <c r="H256" i="20"/>
  <c r="G256" i="20"/>
  <c r="J248" i="20"/>
  <c r="I248" i="20"/>
  <c r="K248" i="20" s="1"/>
  <c r="H248" i="20"/>
  <c r="G248" i="20"/>
  <c r="J240" i="20"/>
  <c r="I240" i="20"/>
  <c r="K240" i="20" s="1"/>
  <c r="H240" i="20"/>
  <c r="G240" i="20"/>
  <c r="H7" i="20"/>
  <c r="J7" i="20"/>
  <c r="J270" i="20"/>
  <c r="I270" i="20"/>
  <c r="K270" i="20" s="1"/>
  <c r="H270" i="20"/>
  <c r="G270" i="20"/>
  <c r="H253" i="20"/>
  <c r="J253" i="20"/>
  <c r="I253" i="20"/>
  <c r="K253" i="20" s="1"/>
  <c r="G253" i="20"/>
  <c r="H4" i="20"/>
  <c r="J4" i="20"/>
  <c r="J290" i="20"/>
  <c r="I290" i="20"/>
  <c r="K290" i="20" s="1"/>
  <c r="H290" i="20"/>
  <c r="G290" i="20"/>
  <c r="H297" i="20"/>
  <c r="G297" i="20"/>
  <c r="J297" i="20"/>
  <c r="I297" i="20"/>
  <c r="K297" i="20" s="1"/>
  <c r="H273" i="20"/>
  <c r="J273" i="20"/>
  <c r="I273" i="20"/>
  <c r="K273" i="20" s="1"/>
  <c r="G273" i="20"/>
  <c r="H257" i="20"/>
  <c r="J257" i="20"/>
  <c r="I257" i="20"/>
  <c r="K257" i="20" s="1"/>
  <c r="G257" i="20"/>
  <c r="H241" i="20"/>
  <c r="J241" i="20"/>
  <c r="I241" i="20"/>
  <c r="K241" i="20" s="1"/>
  <c r="G241" i="20"/>
  <c r="H295" i="20"/>
  <c r="J295" i="20"/>
  <c r="I295" i="20"/>
  <c r="K295" i="20" s="1"/>
  <c r="G295" i="20"/>
  <c r="H287" i="20"/>
  <c r="J287" i="20"/>
  <c r="I287" i="20"/>
  <c r="K287" i="20" s="1"/>
  <c r="G287" i="20"/>
  <c r="H279" i="20"/>
  <c r="J279" i="20"/>
  <c r="I279" i="20"/>
  <c r="K279" i="20" s="1"/>
  <c r="G279" i="20"/>
  <c r="H271" i="20"/>
  <c r="I271" i="20"/>
  <c r="K271" i="20" s="1"/>
  <c r="G271" i="20"/>
  <c r="J271" i="20"/>
  <c r="H263" i="20"/>
  <c r="J263" i="20"/>
  <c r="I263" i="20"/>
  <c r="K263" i="20" s="1"/>
  <c r="G263" i="20"/>
  <c r="H255" i="20"/>
  <c r="J255" i="20"/>
  <c r="I255" i="20"/>
  <c r="K255" i="20" s="1"/>
  <c r="G255" i="20"/>
  <c r="H247" i="20"/>
  <c r="J247" i="20"/>
  <c r="I247" i="20"/>
  <c r="K247" i="20" s="1"/>
  <c r="G247" i="20"/>
  <c r="H239" i="20"/>
  <c r="I239" i="20"/>
  <c r="K239" i="20" s="1"/>
  <c r="J239" i="20"/>
  <c r="G239" i="20"/>
  <c r="H6" i="20"/>
  <c r="J6" i="20"/>
  <c r="C58" i="22"/>
  <c r="F5" i="20" s="1"/>
  <c r="C64" i="22"/>
  <c r="F11" i="20" s="1"/>
  <c r="C62" i="22"/>
  <c r="F9" i="20" s="1"/>
  <c r="C60" i="22"/>
  <c r="F7" i="20" s="1"/>
  <c r="C22" i="14"/>
  <c r="E22" i="14" s="1"/>
  <c r="D22" i="14"/>
  <c r="C324" i="20"/>
  <c r="C316" i="20"/>
  <c r="C322" i="20"/>
  <c r="B314" i="20"/>
  <c r="B331" i="20"/>
  <c r="B323" i="20"/>
  <c r="B315" i="20"/>
  <c r="B307" i="20"/>
  <c r="C321" i="20"/>
  <c r="C313" i="20"/>
  <c r="C305" i="20"/>
  <c r="Q288" i="20"/>
  <c r="S288" i="20" s="1"/>
  <c r="Q256" i="20"/>
  <c r="S256" i="20" s="1"/>
  <c r="C245" i="20"/>
  <c r="Q245" i="20"/>
  <c r="S245" i="20" s="1"/>
  <c r="B197" i="20"/>
  <c r="C149" i="20"/>
  <c r="B105" i="20"/>
  <c r="C42" i="20"/>
  <c r="B27" i="20"/>
  <c r="B280" i="20"/>
  <c r="Q280" i="20"/>
  <c r="S280" i="20" s="1"/>
  <c r="E248" i="20"/>
  <c r="L248" i="20" s="1"/>
  <c r="Q248" i="20"/>
  <c r="S248" i="20" s="1"/>
  <c r="B293" i="20"/>
  <c r="Q293" i="20"/>
  <c r="S293" i="20" s="1"/>
  <c r="Q261" i="20"/>
  <c r="S261" i="20" s="1"/>
  <c r="B229" i="20"/>
  <c r="B205" i="20"/>
  <c r="C136" i="20"/>
  <c r="Q276" i="20"/>
  <c r="S276" i="20" s="1"/>
  <c r="B196" i="20"/>
  <c r="B156" i="20"/>
  <c r="E128" i="20"/>
  <c r="B81" i="20"/>
  <c r="B301" i="20"/>
  <c r="Q301" i="20"/>
  <c r="S301" i="20" s="1"/>
  <c r="Q277" i="20"/>
  <c r="S277" i="20" s="1"/>
  <c r="C253" i="20"/>
  <c r="Q253" i="20"/>
  <c r="S253" i="20" s="1"/>
  <c r="B221" i="20"/>
  <c r="B189" i="20"/>
  <c r="C173" i="20"/>
  <c r="B97" i="20"/>
  <c r="B74" i="20"/>
  <c r="B66" i="20"/>
  <c r="C50" i="20"/>
  <c r="Q292" i="20"/>
  <c r="S292" i="20" s="1"/>
  <c r="Q260" i="20"/>
  <c r="S260" i="20" s="1"/>
  <c r="Q291" i="20"/>
  <c r="S291" i="20" s="1"/>
  <c r="Q275" i="20"/>
  <c r="S275" i="20" s="1"/>
  <c r="Q259" i="20"/>
  <c r="S259" i="20" s="1"/>
  <c r="Q243" i="20"/>
  <c r="C195" i="20"/>
  <c r="B179" i="20"/>
  <c r="D119" i="20"/>
  <c r="C64" i="20"/>
  <c r="E32" i="20"/>
  <c r="L32" i="20" s="1"/>
  <c r="Q285" i="20"/>
  <c r="S285" i="20" s="1"/>
  <c r="B269" i="20"/>
  <c r="Q269" i="20"/>
  <c r="S269" i="20" s="1"/>
  <c r="C237" i="20"/>
  <c r="B213" i="20"/>
  <c r="C181" i="20"/>
  <c r="Q300" i="20"/>
  <c r="S300" i="20" s="1"/>
  <c r="Q268" i="20"/>
  <c r="S268" i="20" s="1"/>
  <c r="Q244" i="20"/>
  <c r="B96" i="20"/>
  <c r="D41" i="20"/>
  <c r="Q299" i="20"/>
  <c r="S299" i="20" s="1"/>
  <c r="Q283" i="20"/>
  <c r="S283" i="20" s="1"/>
  <c r="Q267" i="20"/>
  <c r="S267" i="20" s="1"/>
  <c r="Q251" i="20"/>
  <c r="S251" i="20" s="1"/>
  <c r="C219" i="20"/>
  <c r="C95" i="20"/>
  <c r="C88" i="20"/>
  <c r="C72" i="20"/>
  <c r="D56" i="20"/>
  <c r="D25" i="20"/>
  <c r="Q298" i="20"/>
  <c r="S298" i="20" s="1"/>
  <c r="Q290" i="20"/>
  <c r="S290" i="20" s="1"/>
  <c r="Q282" i="20"/>
  <c r="S282" i="20" s="1"/>
  <c r="Q274" i="20"/>
  <c r="S274" i="20" s="1"/>
  <c r="Q266" i="20"/>
  <c r="S266" i="20" s="1"/>
  <c r="Q258" i="20"/>
  <c r="S258" i="20" s="1"/>
  <c r="B250" i="20"/>
  <c r="Q250" i="20"/>
  <c r="S250" i="20" s="1"/>
  <c r="Q242" i="20"/>
  <c r="S242" i="20" s="1"/>
  <c r="C234" i="20"/>
  <c r="C186" i="20"/>
  <c r="B170" i="20"/>
  <c r="C71" i="20"/>
  <c r="Q284" i="20"/>
  <c r="S284" i="20" s="1"/>
  <c r="Q252" i="20"/>
  <c r="S252" i="20" s="1"/>
  <c r="B220" i="20"/>
  <c r="B188" i="20"/>
  <c r="D164" i="20"/>
  <c r="B104" i="20"/>
  <c r="Q297" i="20"/>
  <c r="Q289" i="20"/>
  <c r="S289" i="20" s="1"/>
  <c r="Q281" i="20"/>
  <c r="S281" i="20" s="1"/>
  <c r="Q273" i="20"/>
  <c r="S273" i="20" s="1"/>
  <c r="Q265" i="20"/>
  <c r="S265" i="20" s="1"/>
  <c r="Q257" i="20"/>
  <c r="S257" i="20" s="1"/>
  <c r="Q249" i="20"/>
  <c r="S249" i="20" s="1"/>
  <c r="Q241" i="20"/>
  <c r="Q272" i="20"/>
  <c r="S272" i="20" s="1"/>
  <c r="B144" i="20"/>
  <c r="B139" i="20"/>
  <c r="B124" i="20"/>
  <c r="B116" i="20"/>
  <c r="D108" i="20"/>
  <c r="B85" i="20"/>
  <c r="B13" i="20"/>
  <c r="Q296" i="20"/>
  <c r="S296" i="20" s="1"/>
  <c r="Q264" i="20"/>
  <c r="S264" i="20" s="1"/>
  <c r="Q240" i="20"/>
  <c r="B208" i="20"/>
  <c r="B168" i="20"/>
  <c r="B152" i="20"/>
  <c r="B61" i="20"/>
  <c r="B45" i="20"/>
  <c r="B29" i="20"/>
  <c r="Q287" i="20"/>
  <c r="S287" i="20" s="1"/>
  <c r="Q271" i="20"/>
  <c r="S271" i="20" s="1"/>
  <c r="Q255" i="20"/>
  <c r="Q239" i="20"/>
  <c r="B138" i="20"/>
  <c r="D99" i="20"/>
  <c r="B84" i="20"/>
  <c r="B68" i="20"/>
  <c r="B36" i="20"/>
  <c r="D4" i="20"/>
  <c r="B92" i="20"/>
  <c r="B53" i="20"/>
  <c r="B21" i="20"/>
  <c r="D3" i="20"/>
  <c r="Q295" i="20"/>
  <c r="S295" i="20" s="1"/>
  <c r="Q279" i="20"/>
  <c r="S279" i="20" s="1"/>
  <c r="Q263" i="20"/>
  <c r="S263" i="20" s="1"/>
  <c r="Q247" i="20"/>
  <c r="S247" i="20" s="1"/>
  <c r="D107" i="20"/>
  <c r="B302" i="20"/>
  <c r="Q302" i="20"/>
  <c r="S302" i="20" s="1"/>
  <c r="Q294" i="20"/>
  <c r="S294" i="20" s="1"/>
  <c r="Q286" i="20"/>
  <c r="S286" i="20" s="1"/>
  <c r="Q278" i="20"/>
  <c r="S278" i="20" s="1"/>
  <c r="B270" i="20"/>
  <c r="Q270" i="20"/>
  <c r="S270" i="20" s="1"/>
  <c r="Q262" i="20"/>
  <c r="S262" i="20" s="1"/>
  <c r="Q254" i="20"/>
  <c r="S254" i="20" s="1"/>
  <c r="Q246" i="20"/>
  <c r="S246" i="20" s="1"/>
  <c r="Q238" i="20"/>
  <c r="B9" i="20"/>
  <c r="B6" i="20"/>
  <c r="B18" i="20"/>
  <c r="C16" i="20"/>
  <c r="B20" i="20"/>
  <c r="C79" i="22"/>
  <c r="B79" i="22"/>
  <c r="C61" i="22"/>
  <c r="F8" i="20" s="1"/>
  <c r="C57" i="22"/>
  <c r="F4" i="20" s="1"/>
  <c r="C63" i="22"/>
  <c r="F10" i="20" s="1"/>
  <c r="C59" i="22"/>
  <c r="F6" i="20" s="1"/>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229" i="22"/>
  <c r="C198" i="22"/>
  <c r="C138" i="22"/>
  <c r="C130" i="22"/>
  <c r="C77" i="22"/>
  <c r="C76" i="22"/>
  <c r="C75" i="22"/>
  <c r="C73" i="22"/>
  <c r="C72" i="22"/>
  <c r="C317" i="22"/>
  <c r="C335" i="22"/>
  <c r="C343" i="22"/>
  <c r="C328" i="22"/>
  <c r="C327" i="22"/>
  <c r="C313" i="22"/>
  <c r="C276" i="22"/>
  <c r="C268" i="22"/>
  <c r="C260" i="22"/>
  <c r="C280" i="22"/>
  <c r="C299" i="22"/>
  <c r="C303" i="22"/>
  <c r="C272" i="22"/>
  <c r="C264" i="22"/>
  <c r="A285" i="22"/>
  <c r="C256" i="22"/>
  <c r="C307" i="22"/>
  <c r="C284" i="22"/>
  <c r="C241" i="22"/>
  <c r="C237" i="22"/>
  <c r="C179" i="22"/>
  <c r="C183" i="22"/>
  <c r="C190" i="22"/>
  <c r="C177" i="22"/>
  <c r="C212" i="22"/>
  <c r="C223" i="22"/>
  <c r="C196" i="22"/>
  <c r="C188" i="22"/>
  <c r="C186" i="22"/>
  <c r="C194" i="22"/>
  <c r="C181" i="22"/>
  <c r="C175" i="22"/>
  <c r="C200" i="22"/>
  <c r="C233" i="22"/>
  <c r="C242" i="22"/>
  <c r="C238" i="22"/>
  <c r="C234" i="22"/>
  <c r="C230" i="22"/>
  <c r="C173" i="22"/>
  <c r="A298" i="22"/>
  <c r="C243" i="22"/>
  <c r="C239" i="22"/>
  <c r="C235" i="22"/>
  <c r="C231" i="22"/>
  <c r="C227" i="22"/>
  <c r="C244" i="22"/>
  <c r="C240" i="22"/>
  <c r="C236" i="22"/>
  <c r="C232" i="22"/>
  <c r="C228" i="22"/>
  <c r="C132" i="22"/>
  <c r="C338" i="22"/>
  <c r="C334" i="22"/>
  <c r="C323" i="22"/>
  <c r="C319" i="22"/>
  <c r="A255" i="22"/>
  <c r="C344" i="22"/>
  <c r="C340" i="22"/>
  <c r="C329" i="22"/>
  <c r="C325" i="22"/>
  <c r="C314" i="22"/>
  <c r="C320" i="22"/>
  <c r="C345" i="22"/>
  <c r="C341" i="22"/>
  <c r="C326" i="22"/>
  <c r="A318" i="22"/>
  <c r="C315" i="22"/>
  <c r="A339" i="22"/>
  <c r="C336" i="22"/>
  <c r="C332" i="22"/>
  <c r="A324" i="22"/>
  <c r="C321" i="22"/>
  <c r="C310" i="22"/>
  <c r="C331" i="22"/>
  <c r="C342" i="22"/>
  <c r="C316" i="22"/>
  <c r="C248" i="22"/>
  <c r="C337" i="22"/>
  <c r="C333" i="22"/>
  <c r="C322" i="22"/>
  <c r="C311" i="22"/>
  <c r="C251" i="22"/>
  <c r="C308" i="22"/>
  <c r="C304" i="22"/>
  <c r="C300" i="22"/>
  <c r="C281" i="22"/>
  <c r="C277" i="22"/>
  <c r="C273" i="22"/>
  <c r="C269" i="22"/>
  <c r="C265" i="22"/>
  <c r="C261" i="22"/>
  <c r="C257" i="22"/>
  <c r="C295" i="22"/>
  <c r="C291" i="22"/>
  <c r="C287" i="22"/>
  <c r="C252" i="22"/>
  <c r="C294" i="22"/>
  <c r="C290" i="22"/>
  <c r="C286" i="22"/>
  <c r="A185" i="22"/>
  <c r="C305" i="22"/>
  <c r="C301" i="22"/>
  <c r="C282" i="22"/>
  <c r="C278" i="22"/>
  <c r="C274" i="22"/>
  <c r="C270" i="22"/>
  <c r="C266" i="22"/>
  <c r="C262" i="22"/>
  <c r="C258" i="22"/>
  <c r="C296" i="22"/>
  <c r="C292" i="22"/>
  <c r="C288" i="22"/>
  <c r="C253" i="22"/>
  <c r="C249" i="22"/>
  <c r="C246" i="22"/>
  <c r="C306" i="22"/>
  <c r="C302" i="22"/>
  <c r="C283" i="22"/>
  <c r="C279" i="22"/>
  <c r="C275" i="22"/>
  <c r="C271" i="22"/>
  <c r="C267" i="22"/>
  <c r="C263" i="22"/>
  <c r="C259" i="22"/>
  <c r="C297" i="22"/>
  <c r="C293" i="22"/>
  <c r="C289" i="22"/>
  <c r="C254" i="22"/>
  <c r="C250" i="22"/>
  <c r="C247" i="22"/>
  <c r="C206" i="22"/>
  <c r="A219" i="22"/>
  <c r="C216" i="22"/>
  <c r="C199" i="22"/>
  <c r="C195" i="22"/>
  <c r="C191" i="22"/>
  <c r="C187" i="22"/>
  <c r="C222" i="22"/>
  <c r="C211" i="22"/>
  <c r="C207" i="22"/>
  <c r="C203" i="22"/>
  <c r="C182" i="22"/>
  <c r="C178" i="22"/>
  <c r="C174" i="22"/>
  <c r="C225" i="22"/>
  <c r="C221" i="22"/>
  <c r="C210" i="22"/>
  <c r="C217" i="22"/>
  <c r="C192" i="22"/>
  <c r="C208" i="22"/>
  <c r="C204" i="22"/>
  <c r="C171" i="22"/>
  <c r="C218" i="22"/>
  <c r="A202" i="22"/>
  <c r="C201" i="22"/>
  <c r="C197" i="22"/>
  <c r="C193" i="22"/>
  <c r="C189" i="22"/>
  <c r="C224" i="22"/>
  <c r="C220" i="22"/>
  <c r="C213" i="22"/>
  <c r="C209" i="22"/>
  <c r="C205" i="22"/>
  <c r="C184" i="22"/>
  <c r="C180" i="22"/>
  <c r="C176" i="22"/>
  <c r="C172" i="22"/>
  <c r="C215" i="22"/>
  <c r="C148" i="22"/>
  <c r="C142" i="22"/>
  <c r="C158" i="22"/>
  <c r="C168" i="22"/>
  <c r="C164" i="22"/>
  <c r="C150" i="22"/>
  <c r="C160" i="22"/>
  <c r="A146" i="22"/>
  <c r="C154" i="22"/>
  <c r="C156" i="22"/>
  <c r="C162" i="22"/>
  <c r="C134" i="22"/>
  <c r="C152" i="22"/>
  <c r="C166" i="22"/>
  <c r="C167" i="22"/>
  <c r="C163" i="22"/>
  <c r="C159" i="22"/>
  <c r="C155" i="22"/>
  <c r="C151" i="22"/>
  <c r="C147" i="22"/>
  <c r="C74" i="22"/>
  <c r="C143" i="22"/>
  <c r="C139" i="22"/>
  <c r="C135" i="22"/>
  <c r="C131" i="22"/>
  <c r="C128" i="22"/>
  <c r="C169" i="22"/>
  <c r="C165" i="22"/>
  <c r="C161" i="22"/>
  <c r="C157" i="22"/>
  <c r="C153" i="22"/>
  <c r="C149" i="22"/>
  <c r="C140" i="22"/>
  <c r="C145" i="22"/>
  <c r="C141" i="22"/>
  <c r="C137" i="22"/>
  <c r="C133" i="22"/>
  <c r="C129" i="22"/>
  <c r="C144" i="22"/>
  <c r="C136" i="22"/>
  <c r="C103" i="22"/>
  <c r="C107" i="22"/>
  <c r="C81" i="22"/>
  <c r="C99" i="22"/>
  <c r="C83" i="22"/>
  <c r="C91" i="22"/>
  <c r="C95" i="22"/>
  <c r="C87" i="22"/>
  <c r="C97" i="22"/>
  <c r="C101" i="22"/>
  <c r="C89" i="22"/>
  <c r="C84" i="22"/>
  <c r="C98" i="22"/>
  <c r="C102" i="22"/>
  <c r="C106" i="22"/>
  <c r="C110" i="22"/>
  <c r="C93" i="22"/>
  <c r="C92" i="22"/>
  <c r="C115" i="22"/>
  <c r="C119" i="22"/>
  <c r="C123" i="22"/>
  <c r="C116" i="22"/>
  <c r="C124" i="22"/>
  <c r="C105" i="22"/>
  <c r="C109" i="22"/>
  <c r="C112" i="22"/>
  <c r="C120" i="22"/>
  <c r="A80" i="22"/>
  <c r="A94" i="22"/>
  <c r="C114" i="22"/>
  <c r="C118" i="22"/>
  <c r="C122" i="22"/>
  <c r="C126" i="22"/>
  <c r="C82" i="22"/>
  <c r="C86" i="22"/>
  <c r="A88" i="22"/>
  <c r="C96" i="22"/>
  <c r="C100" i="22"/>
  <c r="C104" i="22"/>
  <c r="C108" i="22"/>
  <c r="A111" i="22"/>
  <c r="C90" i="22"/>
  <c r="C113" i="22"/>
  <c r="C117" i="22"/>
  <c r="C121" i="22"/>
  <c r="C125" i="22"/>
  <c r="C70" i="22"/>
  <c r="C66" i="22"/>
  <c r="C69" i="22"/>
  <c r="A55" i="22"/>
  <c r="A71" i="22"/>
  <c r="C67" i="22"/>
  <c r="A65" i="22"/>
  <c r="F23" i="4" s="1"/>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L242" i="20" s="1"/>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L87" i="20" s="1"/>
  <c r="D87" i="20"/>
  <c r="E79" i="20"/>
  <c r="D79" i="20"/>
  <c r="E71" i="20"/>
  <c r="D71" i="20"/>
  <c r="E63" i="20"/>
  <c r="D63" i="20"/>
  <c r="E55" i="20"/>
  <c r="D55" i="20"/>
  <c r="E47" i="20"/>
  <c r="D47" i="20"/>
  <c r="E39" i="20"/>
  <c r="D39" i="20"/>
  <c r="E31" i="20"/>
  <c r="D31" i="20"/>
  <c r="E23" i="20"/>
  <c r="D23" i="20"/>
  <c r="E15" i="20"/>
  <c r="D15" i="20"/>
  <c r="E7" i="20"/>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L235" i="20" s="1"/>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D22" i="20"/>
  <c r="C22" i="20"/>
  <c r="E14" i="20"/>
  <c r="D14" i="20"/>
  <c r="C14" i="20"/>
  <c r="E6" i="20"/>
  <c r="D6" i="20"/>
  <c r="C235" i="20"/>
  <c r="E311" i="20"/>
  <c r="D311" i="20"/>
  <c r="C311" i="20"/>
  <c r="E288" i="20"/>
  <c r="D288" i="20"/>
  <c r="C288" i="20"/>
  <c r="C264" i="20"/>
  <c r="E264" i="20"/>
  <c r="C240" i="20"/>
  <c r="D240" i="20"/>
  <c r="E224" i="20"/>
  <c r="L224" i="20" s="1"/>
  <c r="D224" i="20"/>
  <c r="C224" i="20"/>
  <c r="C200" i="20"/>
  <c r="E200" i="20"/>
  <c r="D184" i="20"/>
  <c r="C184" i="20"/>
  <c r="C168" i="20"/>
  <c r="E168" i="20"/>
  <c r="C275" i="20"/>
  <c r="C147" i="20"/>
  <c r="E3" i="20"/>
  <c r="C3" i="20"/>
  <c r="E326" i="20"/>
  <c r="D326" i="20"/>
  <c r="C326" i="20"/>
  <c r="E318" i="20"/>
  <c r="L318" i="20" s="1"/>
  <c r="C318" i="20"/>
  <c r="E310" i="20"/>
  <c r="C310" i="20"/>
  <c r="E295" i="20"/>
  <c r="D295" i="20"/>
  <c r="C295" i="20"/>
  <c r="E287" i="20"/>
  <c r="C287" i="20"/>
  <c r="D287" i="20"/>
  <c r="E279" i="20"/>
  <c r="D279" i="20"/>
  <c r="C279" i="20"/>
  <c r="E271" i="20"/>
  <c r="C271" i="20"/>
  <c r="E263" i="20"/>
  <c r="C263" i="20"/>
  <c r="E255" i="20"/>
  <c r="C255" i="20"/>
  <c r="D255" i="20"/>
  <c r="E247" i="20"/>
  <c r="L247" i="20" s="1"/>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L227" i="20" s="1"/>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L225" i="20" s="1"/>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L308" i="20" s="1"/>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L244" i="20" s="1"/>
  <c r="D244" i="20"/>
  <c r="C244" i="20"/>
  <c r="E236" i="20"/>
  <c r="L236" i="20" s="1"/>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D17" i="20"/>
  <c r="C17" i="20"/>
  <c r="E9" i="20"/>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L16" i="20" s="1"/>
  <c r="E8" i="20"/>
  <c r="C8" i="20"/>
  <c r="D32" i="20"/>
  <c r="D64" i="20"/>
  <c r="D95" i="20"/>
  <c r="C5" i="20"/>
  <c r="E13" i="20"/>
  <c r="L13" i="20" s="1"/>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L36" i="20" s="1"/>
  <c r="E28" i="20"/>
  <c r="E20" i="20"/>
  <c r="E12" i="20"/>
  <c r="C4" i="20"/>
  <c r="E4" i="20"/>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D19" i="20"/>
  <c r="E11" i="20"/>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D28" i="20"/>
  <c r="E37" i="20"/>
  <c r="D60" i="20"/>
  <c r="E69" i="20"/>
  <c r="D91" i="20"/>
  <c r="E100" i="20"/>
  <c r="D123" i="20"/>
  <c r="E132" i="20"/>
  <c r="D151" i="20"/>
  <c r="E160" i="20"/>
  <c r="L160" i="20" s="1"/>
  <c r="D183" i="20"/>
  <c r="D215" i="20"/>
  <c r="E285" i="20"/>
  <c r="D285" i="20"/>
  <c r="E277" i="20"/>
  <c r="D277" i="20"/>
  <c r="E269" i="20"/>
  <c r="D269" i="20"/>
  <c r="E261" i="20"/>
  <c r="L261" i="20" s="1"/>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D18" i="20"/>
  <c r="C10" i="20"/>
  <c r="E10" i="20"/>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K144" i="25" l="1"/>
  <c r="K236" i="25"/>
  <c r="K128" i="25"/>
  <c r="N7" i="20"/>
  <c r="N297" i="20"/>
  <c r="N270" i="20"/>
  <c r="N292" i="20"/>
  <c r="K159" i="25"/>
  <c r="K240" i="25"/>
  <c r="K175" i="25"/>
  <c r="K141" i="25"/>
  <c r="K221" i="25"/>
  <c r="K188" i="25"/>
  <c r="K246" i="25"/>
  <c r="K179" i="25"/>
  <c r="K216" i="25"/>
  <c r="K151" i="25"/>
  <c r="K193" i="25"/>
  <c r="K180" i="25"/>
  <c r="K254" i="25"/>
  <c r="K226" i="25"/>
  <c r="K139" i="25"/>
  <c r="K259" i="25"/>
  <c r="K244" i="25"/>
  <c r="K153" i="25"/>
  <c r="K149" i="25"/>
  <c r="K203" i="25"/>
  <c r="K214" i="25"/>
  <c r="K201" i="25"/>
  <c r="K209" i="25"/>
  <c r="K211" i="25"/>
  <c r="K256" i="25"/>
  <c r="K169" i="25"/>
  <c r="K129" i="25"/>
  <c r="K140" i="25"/>
  <c r="K146" i="25"/>
  <c r="K131" i="25"/>
  <c r="K197" i="25"/>
  <c r="K241" i="25"/>
  <c r="I132" i="25"/>
  <c r="K134" i="25"/>
  <c r="K233" i="25"/>
  <c r="K183" i="25"/>
  <c r="K250" i="25"/>
  <c r="K218" i="25"/>
  <c r="K127" i="25"/>
  <c r="K200" i="25"/>
  <c r="K178" i="25"/>
  <c r="K163" i="25"/>
  <c r="K194" i="25"/>
  <c r="K172" i="25"/>
  <c r="K220" i="25"/>
  <c r="K162" i="25"/>
  <c r="K132" i="25"/>
  <c r="K230" i="25"/>
  <c r="K181" i="25"/>
  <c r="K222" i="25"/>
  <c r="K227" i="25"/>
  <c r="K215" i="25"/>
  <c r="K237" i="25"/>
  <c r="K177" i="25"/>
  <c r="K239" i="25"/>
  <c r="K147" i="25"/>
  <c r="K195" i="25"/>
  <c r="K182" i="25"/>
  <c r="K167" i="25"/>
  <c r="K155" i="25"/>
  <c r="K204" i="25"/>
  <c r="K231" i="25"/>
  <c r="K257" i="25"/>
  <c r="K223" i="25"/>
  <c r="K243" i="25"/>
  <c r="K248" i="25"/>
  <c r="K253" i="25"/>
  <c r="K174" i="25"/>
  <c r="K137" i="25"/>
  <c r="K168" i="25"/>
  <c r="K165" i="25"/>
  <c r="K224" i="25"/>
  <c r="K213" i="25"/>
  <c r="K198" i="25"/>
  <c r="K229" i="25"/>
  <c r="K242" i="25"/>
  <c r="K133" i="25"/>
  <c r="K258" i="25"/>
  <c r="K196" i="25"/>
  <c r="L126" i="25"/>
  <c r="K219" i="25"/>
  <c r="K171" i="25"/>
  <c r="K138" i="25"/>
  <c r="K235" i="25"/>
  <c r="K255" i="25"/>
  <c r="K154" i="25"/>
  <c r="K232" i="25"/>
  <c r="K238" i="25"/>
  <c r="K148" i="25"/>
  <c r="K136" i="25"/>
  <c r="K190" i="25"/>
  <c r="K205" i="25"/>
  <c r="K245" i="25"/>
  <c r="K186" i="25"/>
  <c r="K206" i="25"/>
  <c r="K210" i="25"/>
  <c r="K176" i="25"/>
  <c r="K228" i="25"/>
  <c r="K152" i="25"/>
  <c r="K187" i="25"/>
  <c r="K158" i="25"/>
  <c r="K161" i="25"/>
  <c r="K225" i="25"/>
  <c r="K156" i="25"/>
  <c r="K251" i="25"/>
  <c r="K166" i="25"/>
  <c r="K234" i="25"/>
  <c r="K143" i="25"/>
  <c r="K184" i="25"/>
  <c r="N4" i="20"/>
  <c r="N259" i="20"/>
  <c r="N291" i="20"/>
  <c r="K202" i="25"/>
  <c r="K126" i="25"/>
  <c r="K208" i="25"/>
  <c r="K157" i="25"/>
  <c r="K252" i="25"/>
  <c r="K185" i="25"/>
  <c r="K191" i="25"/>
  <c r="K249" i="25"/>
  <c r="N8" i="20"/>
  <c r="N278" i="20"/>
  <c r="N253" i="20"/>
  <c r="N6" i="20"/>
  <c r="O10" i="20"/>
  <c r="L10" i="20"/>
  <c r="O11" i="20"/>
  <c r="L11" i="20"/>
  <c r="N271" i="20"/>
  <c r="L9" i="20"/>
  <c r="O9" i="20"/>
  <c r="O5" i="20"/>
  <c r="L5" i="20"/>
  <c r="O17" i="20"/>
  <c r="L17" i="20"/>
  <c r="O19" i="20"/>
  <c r="L19" i="20"/>
  <c r="O22" i="20"/>
  <c r="L22" i="20"/>
  <c r="O3" i="20"/>
  <c r="L3" i="20"/>
  <c r="O8" i="20"/>
  <c r="L8" i="20"/>
  <c r="L21" i="20"/>
  <c r="O21" i="20"/>
  <c r="O4" i="20"/>
  <c r="L4" i="20"/>
  <c r="O7" i="20"/>
  <c r="L7" i="20"/>
  <c r="O18" i="20"/>
  <c r="L18" i="20"/>
  <c r="O20" i="20"/>
  <c r="L20" i="20"/>
  <c r="O23" i="20"/>
  <c r="L23" i="20"/>
  <c r="O6" i="20"/>
  <c r="L6" i="20"/>
  <c r="N9" i="20"/>
  <c r="N249" i="20"/>
  <c r="N240" i="20"/>
  <c r="N272" i="20"/>
  <c r="N293" i="20"/>
  <c r="N268" i="20"/>
  <c r="N290" i="20"/>
  <c r="N266" i="20"/>
  <c r="N241" i="20"/>
  <c r="N245" i="20"/>
  <c r="N251" i="20"/>
  <c r="N283" i="20"/>
  <c r="N301" i="20"/>
  <c r="N282" i="20"/>
  <c r="N300" i="20"/>
  <c r="N286" i="20"/>
  <c r="N289" i="20"/>
  <c r="N239" i="20"/>
  <c r="N238" i="20"/>
  <c r="N244" i="20"/>
  <c r="N302" i="20"/>
  <c r="N3" i="20"/>
  <c r="N248" i="20"/>
  <c r="N280" i="20"/>
  <c r="N265" i="20"/>
  <c r="N242" i="20"/>
  <c r="N274" i="20"/>
  <c r="N284" i="20"/>
  <c r="N246" i="20"/>
  <c r="N262" i="20"/>
  <c r="N260" i="20"/>
  <c r="T260" i="20" s="1"/>
  <c r="V260" i="20" s="1"/>
  <c r="N279" i="20"/>
  <c r="N294" i="20"/>
  <c r="N276" i="20"/>
  <c r="N254" i="20"/>
  <c r="N295" i="20"/>
  <c r="N277" i="20"/>
  <c r="N298" i="20"/>
  <c r="N247" i="20"/>
  <c r="N255" i="20"/>
  <c r="N287" i="20"/>
  <c r="N273" i="20"/>
  <c r="N285" i="20"/>
  <c r="N10" i="20"/>
  <c r="N267" i="20"/>
  <c r="N299" i="20"/>
  <c r="N263" i="20"/>
  <c r="N296" i="20"/>
  <c r="N261" i="20"/>
  <c r="N257" i="20"/>
  <c r="N269" i="20"/>
  <c r="N256" i="20"/>
  <c r="N288" i="20"/>
  <c r="N281" i="20"/>
  <c r="N250" i="20"/>
  <c r="N264" i="20"/>
  <c r="N258" i="20"/>
  <c r="N252" i="20"/>
  <c r="N5" i="20"/>
  <c r="N243" i="20"/>
  <c r="N275" i="20"/>
  <c r="N11" i="20"/>
  <c r="J13" i="20"/>
  <c r="G127" i="25"/>
  <c r="F27" i="4"/>
  <c r="F128" i="25"/>
  <c r="J134" i="25"/>
  <c r="G129" i="25"/>
  <c r="J20" i="20"/>
  <c r="M15" i="20"/>
  <c r="Q15" i="20" s="1"/>
  <c r="J129" i="25"/>
  <c r="F19" i="12"/>
  <c r="G16" i="20"/>
  <c r="J19" i="20"/>
  <c r="H20" i="20"/>
  <c r="H24" i="20"/>
  <c r="J128" i="25"/>
  <c r="H131" i="25"/>
  <c r="I237" i="25"/>
  <c r="I127" i="25"/>
  <c r="G131" i="25"/>
  <c r="H19" i="20"/>
  <c r="G107" i="20"/>
  <c r="G24" i="20"/>
  <c r="F20" i="12"/>
  <c r="G17" i="20"/>
  <c r="C174" i="25"/>
  <c r="J16" i="20"/>
  <c r="I19" i="20"/>
  <c r="K19" i="20" s="1"/>
  <c r="M14" i="20"/>
  <c r="Q14" i="20" s="1"/>
  <c r="M16" i="20"/>
  <c r="Q16" i="20" s="1"/>
  <c r="G134" i="25"/>
  <c r="F32" i="4"/>
  <c r="F19" i="14" s="1"/>
  <c r="F131" i="25"/>
  <c r="I17" i="20"/>
  <c r="K17" i="20" s="1"/>
  <c r="G132" i="25"/>
  <c r="I133" i="25"/>
  <c r="H88" i="20"/>
  <c r="G175" i="25"/>
  <c r="I16" i="20"/>
  <c r="K16" i="20" s="1"/>
  <c r="J17" i="20"/>
  <c r="M13" i="20"/>
  <c r="Q13" i="20" s="1"/>
  <c r="M24" i="20"/>
  <c r="Q24" i="20" s="1"/>
  <c r="J126" i="25"/>
  <c r="F18" i="12"/>
  <c r="G134" i="20"/>
  <c r="J15" i="20"/>
  <c r="H16" i="20"/>
  <c r="H17" i="20"/>
  <c r="I134" i="25"/>
  <c r="H128" i="25"/>
  <c r="F134" i="25"/>
  <c r="G126" i="25"/>
  <c r="D134" i="25"/>
  <c r="H15" i="20"/>
  <c r="M23" i="20"/>
  <c r="Q23" i="20" s="1"/>
  <c r="J24" i="20"/>
  <c r="F21" i="12"/>
  <c r="J23" i="20"/>
  <c r="J18" i="20"/>
  <c r="F25" i="4"/>
  <c r="F33" i="4"/>
  <c r="H127" i="25"/>
  <c r="C140" i="25"/>
  <c r="H23" i="20"/>
  <c r="G13" i="20"/>
  <c r="H18" i="20"/>
  <c r="H126" i="25"/>
  <c r="F126" i="25"/>
  <c r="J131" i="25"/>
  <c r="H13" i="20"/>
  <c r="F26" i="4"/>
  <c r="J132" i="25"/>
  <c r="J133" i="25"/>
  <c r="I23" i="20"/>
  <c r="K23" i="20" s="1"/>
  <c r="I214" i="25"/>
  <c r="J21" i="20"/>
  <c r="E134" i="25"/>
  <c r="F133" i="25"/>
  <c r="F34" i="4"/>
  <c r="F18" i="13"/>
  <c r="M18" i="20"/>
  <c r="Q18" i="20" s="1"/>
  <c r="M19" i="20"/>
  <c r="Q19" i="20" s="1"/>
  <c r="I129" i="25"/>
  <c r="G149" i="20"/>
  <c r="I35" i="20"/>
  <c r="K35" i="20" s="1"/>
  <c r="J12" i="20"/>
  <c r="H21" i="20"/>
  <c r="F132" i="25"/>
  <c r="H134" i="25"/>
  <c r="C127" i="25"/>
  <c r="C131" i="25"/>
  <c r="I12" i="20"/>
  <c r="K12" i="20" s="1"/>
  <c r="F29" i="4"/>
  <c r="J127" i="25"/>
  <c r="H133" i="25"/>
  <c r="M20" i="20"/>
  <c r="Q20" i="20" s="1"/>
  <c r="G128" i="25"/>
  <c r="C132" i="25"/>
  <c r="J14" i="20"/>
  <c r="G136" i="25"/>
  <c r="H129" i="25"/>
  <c r="F35" i="4"/>
  <c r="F24" i="4"/>
  <c r="M22" i="20"/>
  <c r="Q22" i="20" s="1"/>
  <c r="I131" i="25"/>
  <c r="H12" i="20"/>
  <c r="C129" i="25"/>
  <c r="C133" i="25"/>
  <c r="C134" i="25"/>
  <c r="H14" i="20"/>
  <c r="I24" i="20"/>
  <c r="K24" i="20" s="1"/>
  <c r="F30" i="4"/>
  <c r="F36" i="4"/>
  <c r="F22" i="14" s="1"/>
  <c r="I126" i="25"/>
  <c r="H132" i="25"/>
  <c r="F18" i="9"/>
  <c r="M21" i="20"/>
  <c r="Q21" i="20" s="1"/>
  <c r="I18" i="20"/>
  <c r="K18" i="20" s="1"/>
  <c r="G23" i="20"/>
  <c r="J22" i="20"/>
  <c r="I128" i="25"/>
  <c r="C126" i="25"/>
  <c r="I233" i="25"/>
  <c r="H22" i="20"/>
  <c r="F129" i="25"/>
  <c r="F18" i="10"/>
  <c r="G18" i="20"/>
  <c r="M12" i="20"/>
  <c r="Q12" i="20" s="1"/>
  <c r="M17" i="20"/>
  <c r="Q17" i="20" s="1"/>
  <c r="F31" i="4"/>
  <c r="F18" i="11"/>
  <c r="G133" i="25"/>
  <c r="G19" i="20"/>
  <c r="F127" i="25"/>
  <c r="G36" i="20"/>
  <c r="J60" i="20"/>
  <c r="J140" i="20"/>
  <c r="H188" i="20"/>
  <c r="G185" i="20"/>
  <c r="J59" i="20"/>
  <c r="J236" i="20"/>
  <c r="C208" i="25"/>
  <c r="J123" i="20"/>
  <c r="C179" i="25"/>
  <c r="J179" i="20"/>
  <c r="G128" i="20"/>
  <c r="I70" i="20"/>
  <c r="K70" i="20" s="1"/>
  <c r="J304" i="20"/>
  <c r="J229" i="20"/>
  <c r="M125" i="20"/>
  <c r="Q125" i="20" s="1"/>
  <c r="I239" i="25"/>
  <c r="G259" i="25"/>
  <c r="C219" i="25"/>
  <c r="G177" i="25"/>
  <c r="H129" i="20"/>
  <c r="J150" i="20"/>
  <c r="J152" i="20"/>
  <c r="J73" i="20"/>
  <c r="C229" i="25"/>
  <c r="G214" i="25"/>
  <c r="H208" i="20"/>
  <c r="H161" i="20"/>
  <c r="H39" i="20"/>
  <c r="H26" i="20"/>
  <c r="I255" i="25"/>
  <c r="I103" i="20"/>
  <c r="K103" i="20" s="1"/>
  <c r="J90" i="20"/>
  <c r="C165" i="25"/>
  <c r="I174" i="25"/>
  <c r="J167" i="20"/>
  <c r="H205" i="20"/>
  <c r="H138" i="20"/>
  <c r="G105" i="20"/>
  <c r="H231" i="20"/>
  <c r="J202" i="20"/>
  <c r="G54" i="20"/>
  <c r="I187" i="25"/>
  <c r="I42" i="20"/>
  <c r="K42" i="20" s="1"/>
  <c r="I171" i="25"/>
  <c r="C138" i="25"/>
  <c r="G141" i="25"/>
  <c r="I175" i="25"/>
  <c r="I95" i="20"/>
  <c r="K95" i="20" s="1"/>
  <c r="C213" i="25"/>
  <c r="G213" i="25"/>
  <c r="G72" i="20"/>
  <c r="I235" i="25"/>
  <c r="G226" i="25"/>
  <c r="G197" i="25"/>
  <c r="C258" i="25"/>
  <c r="I251" i="25"/>
  <c r="I158" i="25"/>
  <c r="G186" i="25"/>
  <c r="G176" i="25"/>
  <c r="I229" i="25"/>
  <c r="I144" i="25"/>
  <c r="I47" i="20"/>
  <c r="K47" i="20" s="1"/>
  <c r="J39" i="20"/>
  <c r="J103" i="20"/>
  <c r="H159" i="20"/>
  <c r="J231" i="20"/>
  <c r="J89" i="20"/>
  <c r="J181" i="20"/>
  <c r="J88" i="20"/>
  <c r="H144" i="20"/>
  <c r="J208" i="20"/>
  <c r="H304" i="20"/>
  <c r="H73" i="20"/>
  <c r="I161" i="20"/>
  <c r="K161" i="20" s="1"/>
  <c r="I26" i="20"/>
  <c r="K26" i="20" s="1"/>
  <c r="H82" i="20"/>
  <c r="J138" i="20"/>
  <c r="G202" i="20"/>
  <c r="H229" i="20"/>
  <c r="H118" i="20"/>
  <c r="H51" i="20"/>
  <c r="H115" i="20"/>
  <c r="G171" i="20"/>
  <c r="H36" i="20"/>
  <c r="G140" i="20"/>
  <c r="H228" i="20"/>
  <c r="J308" i="20"/>
  <c r="G150" i="20"/>
  <c r="J188" i="20"/>
  <c r="I306" i="20"/>
  <c r="K306" i="20" s="1"/>
  <c r="G244" i="25"/>
  <c r="M333" i="20"/>
  <c r="Q333" i="20" s="1"/>
  <c r="M147" i="20"/>
  <c r="Q147" i="20" s="1"/>
  <c r="M88" i="20"/>
  <c r="Q88" i="20" s="1"/>
  <c r="G228" i="25"/>
  <c r="G229" i="25"/>
  <c r="G221" i="25"/>
  <c r="M197" i="20"/>
  <c r="Q197" i="20" s="1"/>
  <c r="M213" i="20"/>
  <c r="Q213" i="20" s="1"/>
  <c r="M114" i="20"/>
  <c r="Q114" i="20" s="1"/>
  <c r="M75" i="20"/>
  <c r="Q75" i="20" s="1"/>
  <c r="G148" i="25"/>
  <c r="M38" i="20"/>
  <c r="Q38" i="20" s="1"/>
  <c r="M39" i="20"/>
  <c r="Q39" i="20" s="1"/>
  <c r="M60" i="20"/>
  <c r="Q60" i="20" s="1"/>
  <c r="M41" i="20"/>
  <c r="Q41" i="20" s="1"/>
  <c r="I138" i="25"/>
  <c r="I176" i="25"/>
  <c r="M321" i="20"/>
  <c r="Q321" i="20" s="1"/>
  <c r="M167" i="20"/>
  <c r="Q167" i="20" s="1"/>
  <c r="M108" i="20"/>
  <c r="Q108" i="20" s="1"/>
  <c r="I249" i="25"/>
  <c r="G250" i="25"/>
  <c r="M44" i="20"/>
  <c r="Q44" i="20" s="1"/>
  <c r="M103" i="20"/>
  <c r="Q103" i="20" s="1"/>
  <c r="M233" i="20"/>
  <c r="Q233" i="20" s="1"/>
  <c r="M134" i="20"/>
  <c r="Q134" i="20" s="1"/>
  <c r="M95" i="20"/>
  <c r="Q95" i="20" s="1"/>
  <c r="M36" i="20"/>
  <c r="Q36" i="20" s="1"/>
  <c r="M58" i="20"/>
  <c r="Q58" i="20" s="1"/>
  <c r="M59" i="20"/>
  <c r="Q59" i="20" s="1"/>
  <c r="M80" i="20"/>
  <c r="Q80" i="20" s="1"/>
  <c r="M61" i="20"/>
  <c r="Q61" i="20" s="1"/>
  <c r="M42" i="20"/>
  <c r="Q42" i="20" s="1"/>
  <c r="G39" i="20"/>
  <c r="H103" i="20"/>
  <c r="H167" i="20"/>
  <c r="G231" i="20"/>
  <c r="J129" i="20"/>
  <c r="J29" i="20"/>
  <c r="J205" i="20"/>
  <c r="J96" i="20"/>
  <c r="H152" i="20"/>
  <c r="J216" i="20"/>
  <c r="I81" i="20"/>
  <c r="K81" i="20" s="1"/>
  <c r="J161" i="20"/>
  <c r="J34" i="20"/>
  <c r="I90" i="20"/>
  <c r="K90" i="20" s="1"/>
  <c r="G146" i="20"/>
  <c r="H202" i="20"/>
  <c r="G229" i="20"/>
  <c r="J38" i="20"/>
  <c r="J134" i="20"/>
  <c r="H59" i="20"/>
  <c r="I123" i="20"/>
  <c r="K123" i="20" s="1"/>
  <c r="I179" i="20"/>
  <c r="K179" i="20" s="1"/>
  <c r="J44" i="20"/>
  <c r="H140" i="20"/>
  <c r="H236" i="20"/>
  <c r="H150" i="20"/>
  <c r="H60" i="20"/>
  <c r="G204" i="20"/>
  <c r="M143" i="20"/>
  <c r="Q143" i="20" s="1"/>
  <c r="M187" i="20"/>
  <c r="Q187" i="20" s="1"/>
  <c r="M128" i="20"/>
  <c r="Q128" i="20" s="1"/>
  <c r="G181" i="25"/>
  <c r="M124" i="20"/>
  <c r="Q124" i="20" s="1"/>
  <c r="M313" i="20"/>
  <c r="Q313" i="20" s="1"/>
  <c r="M154" i="20"/>
  <c r="Q154" i="20" s="1"/>
  <c r="M115" i="20"/>
  <c r="Q115" i="20" s="1"/>
  <c r="M56" i="20"/>
  <c r="Q56" i="20" s="1"/>
  <c r="M78" i="20"/>
  <c r="Q78" i="20" s="1"/>
  <c r="M79" i="20"/>
  <c r="Q79" i="20" s="1"/>
  <c r="M100" i="20"/>
  <c r="Q100" i="20" s="1"/>
  <c r="M81" i="20"/>
  <c r="Q81" i="20" s="1"/>
  <c r="M62" i="20"/>
  <c r="Q62" i="20" s="1"/>
  <c r="C149" i="25"/>
  <c r="G165" i="25"/>
  <c r="I184" i="25"/>
  <c r="G76" i="20"/>
  <c r="I194" i="25"/>
  <c r="I243" i="25"/>
  <c r="G230" i="25"/>
  <c r="C151" i="25"/>
  <c r="C223" i="25"/>
  <c r="I46" i="20"/>
  <c r="K46" i="20" s="1"/>
  <c r="G32" i="20"/>
  <c r="C206" i="25"/>
  <c r="G103" i="20"/>
  <c r="G146" i="25"/>
  <c r="C146" i="25"/>
  <c r="G172" i="25"/>
  <c r="C177" i="25"/>
  <c r="C186" i="25"/>
  <c r="C175" i="25"/>
  <c r="G110" i="20"/>
  <c r="I69" i="20"/>
  <c r="K69" i="20" s="1"/>
  <c r="C193" i="25"/>
  <c r="I156" i="20"/>
  <c r="K156" i="20" s="1"/>
  <c r="G248" i="25"/>
  <c r="C233" i="25"/>
  <c r="G152" i="25"/>
  <c r="I232" i="20"/>
  <c r="K232" i="20" s="1"/>
  <c r="C227" i="25"/>
  <c r="I241" i="25"/>
  <c r="G47" i="20"/>
  <c r="J111" i="20"/>
  <c r="G167" i="20"/>
  <c r="G129" i="20"/>
  <c r="H29" i="20"/>
  <c r="G205" i="20"/>
  <c r="J32" i="20"/>
  <c r="H96" i="20"/>
  <c r="J160" i="20"/>
  <c r="H216" i="20"/>
  <c r="H81" i="20"/>
  <c r="H177" i="20"/>
  <c r="H34" i="20"/>
  <c r="H90" i="20"/>
  <c r="J146" i="20"/>
  <c r="G210" i="20"/>
  <c r="H306" i="20"/>
  <c r="H38" i="20"/>
  <c r="H134" i="20"/>
  <c r="J67" i="20"/>
  <c r="H123" i="20"/>
  <c r="H179" i="20"/>
  <c r="H44" i="20"/>
  <c r="G156" i="20"/>
  <c r="J69" i="20"/>
  <c r="J166" i="20"/>
  <c r="J76" i="20"/>
  <c r="J204" i="20"/>
  <c r="H45" i="20"/>
  <c r="G322" i="20"/>
  <c r="M207" i="20"/>
  <c r="Q207" i="20" s="1"/>
  <c r="M148" i="20"/>
  <c r="Q148" i="20" s="1"/>
  <c r="M29" i="20"/>
  <c r="Q29" i="20" s="1"/>
  <c r="G231" i="25"/>
  <c r="M317" i="20"/>
  <c r="Q317" i="20" s="1"/>
  <c r="M174" i="20"/>
  <c r="Q174" i="20" s="1"/>
  <c r="M135" i="20"/>
  <c r="Q135" i="20" s="1"/>
  <c r="M76" i="20"/>
  <c r="Q76" i="20" s="1"/>
  <c r="I147" i="25"/>
  <c r="M98" i="20"/>
  <c r="Q98" i="20" s="1"/>
  <c r="M99" i="20"/>
  <c r="Q99" i="20" s="1"/>
  <c r="M120" i="20"/>
  <c r="Q120" i="20" s="1"/>
  <c r="M101" i="20"/>
  <c r="Q101" i="20" s="1"/>
  <c r="M82" i="20"/>
  <c r="Q82" i="20" s="1"/>
  <c r="C184" i="25"/>
  <c r="I162" i="25"/>
  <c r="I228" i="20"/>
  <c r="K228" i="20" s="1"/>
  <c r="I259" i="25"/>
  <c r="C246" i="25"/>
  <c r="G204" i="25"/>
  <c r="G99" i="20"/>
  <c r="I139" i="25"/>
  <c r="G147" i="25"/>
  <c r="G178" i="25"/>
  <c r="G82" i="20"/>
  <c r="I180" i="25"/>
  <c r="I73" i="20"/>
  <c r="K73" i="20" s="1"/>
  <c r="G194" i="25"/>
  <c r="I160" i="20"/>
  <c r="K160" i="20" s="1"/>
  <c r="C251" i="25"/>
  <c r="G234" i="25"/>
  <c r="C154" i="25"/>
  <c r="I236" i="20"/>
  <c r="K236" i="20" s="1"/>
  <c r="C231" i="25"/>
  <c r="I305" i="20"/>
  <c r="K305" i="20" s="1"/>
  <c r="I245" i="25"/>
  <c r="G33" i="20"/>
  <c r="I136" i="20"/>
  <c r="K136" i="20" s="1"/>
  <c r="C218" i="25"/>
  <c r="D191" i="25"/>
  <c r="J47" i="20"/>
  <c r="I111" i="20"/>
  <c r="K111" i="20" s="1"/>
  <c r="J175" i="20"/>
  <c r="H153" i="20"/>
  <c r="J37" i="20"/>
  <c r="H32" i="20"/>
  <c r="J104" i="20"/>
  <c r="H160" i="20"/>
  <c r="J224" i="20"/>
  <c r="J81" i="20"/>
  <c r="J177" i="20"/>
  <c r="G34" i="20"/>
  <c r="J98" i="20"/>
  <c r="H146" i="20"/>
  <c r="J210" i="20"/>
  <c r="J306" i="20"/>
  <c r="G38" i="20"/>
  <c r="J158" i="20"/>
  <c r="H67" i="20"/>
  <c r="J131" i="20"/>
  <c r="J187" i="20"/>
  <c r="G44" i="20"/>
  <c r="J156" i="20"/>
  <c r="H69" i="20"/>
  <c r="H166" i="20"/>
  <c r="H76" i="20"/>
  <c r="H204" i="20"/>
  <c r="J45" i="20"/>
  <c r="I204" i="25"/>
  <c r="M227" i="20"/>
  <c r="Q227" i="20" s="1"/>
  <c r="M168" i="20"/>
  <c r="Q168" i="20" s="1"/>
  <c r="M49" i="20"/>
  <c r="Q49" i="20" s="1"/>
  <c r="G209" i="25"/>
  <c r="M83" i="20"/>
  <c r="Q83" i="20" s="1"/>
  <c r="M194" i="20"/>
  <c r="Q194" i="20" s="1"/>
  <c r="M155" i="20"/>
  <c r="Q155" i="20" s="1"/>
  <c r="M96" i="20"/>
  <c r="Q96" i="20" s="1"/>
  <c r="M37" i="20"/>
  <c r="Q37" i="20" s="1"/>
  <c r="M118" i="20"/>
  <c r="Q118" i="20" s="1"/>
  <c r="M119" i="20"/>
  <c r="Q119" i="20" s="1"/>
  <c r="M140" i="20"/>
  <c r="Q140" i="20" s="1"/>
  <c r="M121" i="20"/>
  <c r="Q121" i="20" s="1"/>
  <c r="M102" i="20"/>
  <c r="Q102" i="20" s="1"/>
  <c r="C235" i="25"/>
  <c r="H47" i="20"/>
  <c r="H175" i="20"/>
  <c r="H37" i="20"/>
  <c r="H104" i="20"/>
  <c r="J168" i="20"/>
  <c r="H224" i="20"/>
  <c r="I97" i="20"/>
  <c r="K97" i="20" s="1"/>
  <c r="H193" i="20"/>
  <c r="J42" i="20"/>
  <c r="I98" i="20"/>
  <c r="K98" i="20" s="1"/>
  <c r="G154" i="20"/>
  <c r="H210" i="20"/>
  <c r="J61" i="20"/>
  <c r="J46" i="20"/>
  <c r="H158" i="20"/>
  <c r="I67" i="20"/>
  <c r="K67" i="20" s="1"/>
  <c r="H131" i="20"/>
  <c r="H187" i="20"/>
  <c r="J52" i="20"/>
  <c r="H156" i="20"/>
  <c r="H117" i="20"/>
  <c r="G198" i="20"/>
  <c r="J92" i="20"/>
  <c r="J220" i="20"/>
  <c r="H85" i="20"/>
  <c r="I313" i="20"/>
  <c r="K313" i="20" s="1"/>
  <c r="G303" i="20"/>
  <c r="M304" i="20"/>
  <c r="Q304" i="20" s="1"/>
  <c r="M307" i="20"/>
  <c r="Q307" i="20" s="1"/>
  <c r="M188" i="20"/>
  <c r="Q188" i="20" s="1"/>
  <c r="M69" i="20"/>
  <c r="Q69" i="20" s="1"/>
  <c r="I167" i="25"/>
  <c r="M224" i="20"/>
  <c r="Q224" i="20" s="1"/>
  <c r="M214" i="20"/>
  <c r="Q214" i="20" s="1"/>
  <c r="M175" i="20"/>
  <c r="Q175" i="20" s="1"/>
  <c r="M116" i="20"/>
  <c r="Q116" i="20" s="1"/>
  <c r="M57" i="20"/>
  <c r="Q57" i="20" s="1"/>
  <c r="M138" i="20"/>
  <c r="Q138" i="20" s="1"/>
  <c r="M139" i="20"/>
  <c r="Q139" i="20" s="1"/>
  <c r="M160" i="20"/>
  <c r="Q160" i="20" s="1"/>
  <c r="M141" i="20"/>
  <c r="Q141" i="20" s="1"/>
  <c r="M122" i="20"/>
  <c r="Q122" i="20" s="1"/>
  <c r="I54" i="20"/>
  <c r="K54" i="20" s="1"/>
  <c r="C209" i="25"/>
  <c r="G182" i="25"/>
  <c r="I88" i="20"/>
  <c r="K88" i="20" s="1"/>
  <c r="C198" i="25"/>
  <c r="G210" i="25"/>
  <c r="C239" i="25"/>
  <c r="G66" i="20"/>
  <c r="I231" i="20"/>
  <c r="K231" i="20" s="1"/>
  <c r="G37" i="20"/>
  <c r="C190" i="25"/>
  <c r="C226" i="25"/>
  <c r="H55" i="20"/>
  <c r="J119" i="20"/>
  <c r="J183" i="20"/>
  <c r="I169" i="20"/>
  <c r="K169" i="20" s="1"/>
  <c r="J53" i="20"/>
  <c r="H40" i="20"/>
  <c r="G112" i="20"/>
  <c r="I168" i="20"/>
  <c r="K168" i="20" s="1"/>
  <c r="J232" i="20"/>
  <c r="H97" i="20"/>
  <c r="J193" i="20"/>
  <c r="H42" i="20"/>
  <c r="H98" i="20"/>
  <c r="J154" i="20"/>
  <c r="G218" i="20"/>
  <c r="H61" i="20"/>
  <c r="H46" i="20"/>
  <c r="J182" i="20"/>
  <c r="J75" i="20"/>
  <c r="G131" i="20"/>
  <c r="J195" i="20"/>
  <c r="H52" i="20"/>
  <c r="J164" i="20"/>
  <c r="I117" i="20"/>
  <c r="K117" i="20" s="1"/>
  <c r="J198" i="20"/>
  <c r="I92" i="20"/>
  <c r="K92" i="20" s="1"/>
  <c r="H220" i="20"/>
  <c r="I85" i="20"/>
  <c r="K85" i="20" s="1"/>
  <c r="I303" i="20"/>
  <c r="K303" i="20" s="1"/>
  <c r="I310" i="20"/>
  <c r="K310" i="20" s="1"/>
  <c r="G144" i="25"/>
  <c r="M327" i="20"/>
  <c r="Q327" i="20" s="1"/>
  <c r="M208" i="20"/>
  <c r="Q208" i="20" s="1"/>
  <c r="M89" i="20"/>
  <c r="Q89" i="20" s="1"/>
  <c r="G184" i="25"/>
  <c r="G232" i="25"/>
  <c r="M234" i="20"/>
  <c r="Q234" i="20" s="1"/>
  <c r="M195" i="20"/>
  <c r="Q195" i="20" s="1"/>
  <c r="M136" i="20"/>
  <c r="Q136" i="20" s="1"/>
  <c r="M77" i="20"/>
  <c r="Q77" i="20" s="1"/>
  <c r="M158" i="20"/>
  <c r="Q158" i="20" s="1"/>
  <c r="M159" i="20"/>
  <c r="Q159" i="20" s="1"/>
  <c r="M180" i="20"/>
  <c r="Q180" i="20" s="1"/>
  <c r="M161" i="20"/>
  <c r="Q161" i="20" s="1"/>
  <c r="M142" i="20"/>
  <c r="Q142" i="20" s="1"/>
  <c r="E136" i="25"/>
  <c r="C183" i="25"/>
  <c r="I136" i="25"/>
  <c r="C197" i="25"/>
  <c r="I250" i="25"/>
  <c r="C141" i="25"/>
  <c r="G83" i="20"/>
  <c r="C187" i="25"/>
  <c r="C255" i="25"/>
  <c r="G238" i="25"/>
  <c r="C158" i="25"/>
  <c r="I140" i="20"/>
  <c r="K140" i="20" s="1"/>
  <c r="G101" i="20"/>
  <c r="C153" i="25"/>
  <c r="G138" i="25"/>
  <c r="I205" i="25"/>
  <c r="C171" i="25"/>
  <c r="C185" i="25"/>
  <c r="C167" i="25"/>
  <c r="G113" i="20"/>
  <c r="I80" i="20"/>
  <c r="K80" i="20" s="1"/>
  <c r="I195" i="25"/>
  <c r="G160" i="20"/>
  <c r="G256" i="25"/>
  <c r="C241" i="25"/>
  <c r="G159" i="25"/>
  <c r="I143" i="20"/>
  <c r="K143" i="20" s="1"/>
  <c r="C248" i="25"/>
  <c r="C243" i="25"/>
  <c r="G156" i="25"/>
  <c r="G70" i="20"/>
  <c r="I235" i="20"/>
  <c r="K235" i="20" s="1"/>
  <c r="I66" i="20"/>
  <c r="K66" i="20" s="1"/>
  <c r="C191" i="25"/>
  <c r="C234" i="25"/>
  <c r="J55" i="20"/>
  <c r="H119" i="20"/>
  <c r="I183" i="20"/>
  <c r="K183" i="20" s="1"/>
  <c r="H169" i="20"/>
  <c r="H53" i="20"/>
  <c r="G40" i="20"/>
  <c r="J112" i="20"/>
  <c r="H168" i="20"/>
  <c r="H232" i="20"/>
  <c r="H25" i="20"/>
  <c r="J97" i="20"/>
  <c r="G193" i="20"/>
  <c r="G42" i="20"/>
  <c r="J106" i="20"/>
  <c r="H154" i="20"/>
  <c r="J218" i="20"/>
  <c r="I61" i="20"/>
  <c r="K61" i="20" s="1"/>
  <c r="G46" i="20"/>
  <c r="H182" i="20"/>
  <c r="H75" i="20"/>
  <c r="J139" i="20"/>
  <c r="H195" i="20"/>
  <c r="G52" i="20"/>
  <c r="I164" i="20"/>
  <c r="K164" i="20" s="1"/>
  <c r="J117" i="20"/>
  <c r="J30" i="20"/>
  <c r="H198" i="20"/>
  <c r="H92" i="20"/>
  <c r="J85" i="20"/>
  <c r="G307" i="20"/>
  <c r="M26" i="20"/>
  <c r="Q26" i="20" s="1"/>
  <c r="G225" i="25"/>
  <c r="M330" i="20"/>
  <c r="Q330" i="20" s="1"/>
  <c r="M228" i="20"/>
  <c r="Q228" i="20" s="1"/>
  <c r="M109" i="20"/>
  <c r="Q109" i="20" s="1"/>
  <c r="M30" i="20"/>
  <c r="Q30" i="20" s="1"/>
  <c r="M31" i="20"/>
  <c r="Q31" i="20" s="1"/>
  <c r="I172" i="25"/>
  <c r="I253" i="25"/>
  <c r="M215" i="20"/>
  <c r="Q215" i="20" s="1"/>
  <c r="M156" i="20"/>
  <c r="Q156" i="20" s="1"/>
  <c r="M97" i="20"/>
  <c r="Q97" i="20" s="1"/>
  <c r="M178" i="20"/>
  <c r="Q178" i="20" s="1"/>
  <c r="M179" i="20"/>
  <c r="Q179" i="20" s="1"/>
  <c r="M200" i="20"/>
  <c r="Q200" i="20" s="1"/>
  <c r="M181" i="20"/>
  <c r="Q181" i="20" s="1"/>
  <c r="M162" i="20"/>
  <c r="Q162" i="20" s="1"/>
  <c r="C237" i="25"/>
  <c r="C252" i="25"/>
  <c r="G74" i="20"/>
  <c r="G308" i="20"/>
  <c r="I32" i="20"/>
  <c r="K32" i="20" s="1"/>
  <c r="G92" i="20"/>
  <c r="J63" i="20"/>
  <c r="J127" i="20"/>
  <c r="H183" i="20"/>
  <c r="J169" i="20"/>
  <c r="I53" i="20"/>
  <c r="K53" i="20" s="1"/>
  <c r="J309" i="20"/>
  <c r="J48" i="20"/>
  <c r="H112" i="20"/>
  <c r="J176" i="20"/>
  <c r="J25" i="20"/>
  <c r="I105" i="20"/>
  <c r="K105" i="20" s="1"/>
  <c r="H201" i="20"/>
  <c r="J50" i="20"/>
  <c r="I106" i="20"/>
  <c r="K106" i="20" s="1"/>
  <c r="J162" i="20"/>
  <c r="H218" i="20"/>
  <c r="H109" i="20"/>
  <c r="J54" i="20"/>
  <c r="G206" i="20"/>
  <c r="I75" i="20"/>
  <c r="K75" i="20" s="1"/>
  <c r="H139" i="20"/>
  <c r="J203" i="20"/>
  <c r="J68" i="20"/>
  <c r="H164" i="20"/>
  <c r="H149" i="20"/>
  <c r="I30" i="20"/>
  <c r="K30" i="20" s="1"/>
  <c r="J222" i="20"/>
  <c r="J108" i="20"/>
  <c r="I93" i="20"/>
  <c r="K93" i="20" s="1"/>
  <c r="J62" i="20"/>
  <c r="I307" i="20"/>
  <c r="K307" i="20" s="1"/>
  <c r="M46" i="20"/>
  <c r="Q46" i="20" s="1"/>
  <c r="G245" i="25"/>
  <c r="G241" i="25"/>
  <c r="M308" i="20"/>
  <c r="Q308" i="20" s="1"/>
  <c r="M129" i="20"/>
  <c r="Q129" i="20" s="1"/>
  <c r="M50" i="20"/>
  <c r="Q50" i="20" s="1"/>
  <c r="M51" i="20"/>
  <c r="Q51" i="20" s="1"/>
  <c r="M32" i="20"/>
  <c r="Q32" i="20" s="1"/>
  <c r="I210" i="25"/>
  <c r="M235" i="20"/>
  <c r="Q235" i="20" s="1"/>
  <c r="M176" i="20"/>
  <c r="Q176" i="20" s="1"/>
  <c r="M117" i="20"/>
  <c r="Q117" i="20" s="1"/>
  <c r="M198" i="20"/>
  <c r="Q198" i="20" s="1"/>
  <c r="M199" i="20"/>
  <c r="Q199" i="20" s="1"/>
  <c r="M220" i="20"/>
  <c r="Q220" i="20" s="1"/>
  <c r="M201" i="20"/>
  <c r="Q201" i="20" s="1"/>
  <c r="M182" i="20"/>
  <c r="Q182" i="20" s="1"/>
  <c r="G203" i="25"/>
  <c r="G155" i="25"/>
  <c r="J40" i="20"/>
  <c r="I146" i="25"/>
  <c r="G86" i="20"/>
  <c r="G91" i="20"/>
  <c r="I215" i="25"/>
  <c r="G206" i="25"/>
  <c r="C200" i="25"/>
  <c r="I167" i="20"/>
  <c r="K167" i="20" s="1"/>
  <c r="G200" i="25"/>
  <c r="C169" i="25"/>
  <c r="I165" i="25"/>
  <c r="C182" i="25"/>
  <c r="C211" i="25"/>
  <c r="C210" i="25"/>
  <c r="G215" i="25"/>
  <c r="C196" i="25"/>
  <c r="I229" i="20"/>
  <c r="K229" i="20" s="1"/>
  <c r="C245" i="25"/>
  <c r="I222" i="25"/>
  <c r="I109" i="20"/>
  <c r="K109" i="20" s="1"/>
  <c r="C256" i="25"/>
  <c r="I146" i="20"/>
  <c r="K146" i="20" s="1"/>
  <c r="I145" i="20"/>
  <c r="K145" i="20" s="1"/>
  <c r="I244" i="25"/>
  <c r="G45" i="20"/>
  <c r="I143" i="25"/>
  <c r="C215" i="25"/>
  <c r="H63" i="20"/>
  <c r="I127" i="20"/>
  <c r="K127" i="20" s="1"/>
  <c r="J191" i="20"/>
  <c r="H185" i="20"/>
  <c r="H77" i="20"/>
  <c r="H309" i="20"/>
  <c r="H48" i="20"/>
  <c r="G120" i="20"/>
  <c r="I176" i="20"/>
  <c r="K176" i="20" s="1"/>
  <c r="J33" i="20"/>
  <c r="H105" i="20"/>
  <c r="J201" i="20"/>
  <c r="I50" i="20"/>
  <c r="K50" i="20" s="1"/>
  <c r="H106" i="20"/>
  <c r="H162" i="20"/>
  <c r="G226" i="20"/>
  <c r="J109" i="20"/>
  <c r="H54" i="20"/>
  <c r="J206" i="20"/>
  <c r="J83" i="20"/>
  <c r="J147" i="20"/>
  <c r="H203" i="20"/>
  <c r="H68" i="20"/>
  <c r="G180" i="20"/>
  <c r="J149" i="20"/>
  <c r="H30" i="20"/>
  <c r="I222" i="20"/>
  <c r="K222" i="20" s="1"/>
  <c r="H108" i="20"/>
  <c r="H93" i="20"/>
  <c r="H62" i="20"/>
  <c r="M66" i="20"/>
  <c r="Q66" i="20" s="1"/>
  <c r="M223" i="20"/>
  <c r="Q223" i="20" s="1"/>
  <c r="M328" i="20"/>
  <c r="Q328" i="20" s="1"/>
  <c r="M149" i="20"/>
  <c r="Q149" i="20" s="1"/>
  <c r="M70" i="20"/>
  <c r="Q70" i="20" s="1"/>
  <c r="M71" i="20"/>
  <c r="Q71" i="20" s="1"/>
  <c r="M52" i="20"/>
  <c r="Q52" i="20" s="1"/>
  <c r="I168" i="25"/>
  <c r="G233" i="25"/>
  <c r="M315" i="20"/>
  <c r="Q315" i="20" s="1"/>
  <c r="M196" i="20"/>
  <c r="Q196" i="20" s="1"/>
  <c r="M137" i="20"/>
  <c r="Q137" i="20" s="1"/>
  <c r="M218" i="20"/>
  <c r="Q218" i="20" s="1"/>
  <c r="M219" i="20"/>
  <c r="Q219" i="20" s="1"/>
  <c r="M320" i="20"/>
  <c r="Q320" i="20" s="1"/>
  <c r="M221" i="20"/>
  <c r="Q221" i="20" s="1"/>
  <c r="M202" i="20"/>
  <c r="Q202" i="20" s="1"/>
  <c r="M25" i="20"/>
  <c r="Q25" i="20" s="1"/>
  <c r="C203" i="25"/>
  <c r="I77" i="20"/>
  <c r="K77" i="20" s="1"/>
  <c r="G252" i="25"/>
  <c r="C143" i="25"/>
  <c r="J153" i="20"/>
  <c r="I202" i="25"/>
  <c r="G126" i="20"/>
  <c r="G168" i="25"/>
  <c r="I112" i="20"/>
  <c r="K112" i="20" s="1"/>
  <c r="I157" i="20"/>
  <c r="K157" i="20" s="1"/>
  <c r="I219" i="25"/>
  <c r="C205" i="25"/>
  <c r="G174" i="20"/>
  <c r="I163" i="20"/>
  <c r="K163" i="20" s="1"/>
  <c r="C148" i="25"/>
  <c r="G95" i="20"/>
  <c r="G130" i="20"/>
  <c r="G169" i="25"/>
  <c r="G85" i="20"/>
  <c r="C161" i="25"/>
  <c r="I213" i="25"/>
  <c r="I161" i="25"/>
  <c r="G139" i="20"/>
  <c r="I233" i="20"/>
  <c r="K233" i="20" s="1"/>
  <c r="G246" i="25"/>
  <c r="I226" i="25"/>
  <c r="I152" i="25"/>
  <c r="G151" i="25"/>
  <c r="G157" i="25"/>
  <c r="I148" i="20"/>
  <c r="K148" i="20" s="1"/>
  <c r="I230" i="20"/>
  <c r="K230" i="20" s="1"/>
  <c r="I40" i="20"/>
  <c r="K40" i="20" s="1"/>
  <c r="I220" i="25"/>
  <c r="J71" i="20"/>
  <c r="H127" i="20"/>
  <c r="H191" i="20"/>
  <c r="J185" i="20"/>
  <c r="J77" i="20"/>
  <c r="G190" i="20"/>
  <c r="G48" i="20"/>
  <c r="J120" i="20"/>
  <c r="H176" i="20"/>
  <c r="H33" i="20"/>
  <c r="J105" i="20"/>
  <c r="G201" i="20"/>
  <c r="H50" i="20"/>
  <c r="G114" i="20"/>
  <c r="J170" i="20"/>
  <c r="J226" i="20"/>
  <c r="G109" i="20"/>
  <c r="J78" i="20"/>
  <c r="H206" i="20"/>
  <c r="J27" i="20"/>
  <c r="H83" i="20"/>
  <c r="H147" i="20"/>
  <c r="J211" i="20"/>
  <c r="G84" i="20"/>
  <c r="J180" i="20"/>
  <c r="H189" i="20"/>
  <c r="J70" i="20"/>
  <c r="H222" i="20"/>
  <c r="G132" i="20"/>
  <c r="J93" i="20"/>
  <c r="J142" i="20"/>
  <c r="G304" i="20"/>
  <c r="I308" i="20"/>
  <c r="K308" i="20" s="1"/>
  <c r="M86" i="20"/>
  <c r="Q86" i="20" s="1"/>
  <c r="M184" i="20"/>
  <c r="Q184" i="20" s="1"/>
  <c r="M332" i="20"/>
  <c r="Q332" i="20" s="1"/>
  <c r="M169" i="20"/>
  <c r="Q169" i="20" s="1"/>
  <c r="M90" i="20"/>
  <c r="Q90" i="20" s="1"/>
  <c r="M91" i="20"/>
  <c r="Q91" i="20" s="1"/>
  <c r="M72" i="20"/>
  <c r="Q72" i="20" s="1"/>
  <c r="G185" i="25"/>
  <c r="I254" i="25"/>
  <c r="M316" i="20"/>
  <c r="Q316" i="20" s="1"/>
  <c r="M216" i="20"/>
  <c r="Q216" i="20" s="1"/>
  <c r="M123" i="20"/>
  <c r="Q123" i="20" s="1"/>
  <c r="M318" i="20"/>
  <c r="Q318" i="20" s="1"/>
  <c r="M319" i="20"/>
  <c r="Q319" i="20" s="1"/>
  <c r="M183" i="20"/>
  <c r="Q183" i="20" s="1"/>
  <c r="M163" i="20"/>
  <c r="Q163" i="20" s="1"/>
  <c r="M222" i="20"/>
  <c r="Q222" i="20" s="1"/>
  <c r="M45" i="20"/>
  <c r="Q45" i="20" s="1"/>
  <c r="C181" i="25"/>
  <c r="G81" i="20"/>
  <c r="I191" i="25"/>
  <c r="H111" i="20"/>
  <c r="G169" i="20"/>
  <c r="G201" i="25"/>
  <c r="G205" i="25"/>
  <c r="C259" i="25"/>
  <c r="G242" i="25"/>
  <c r="I218" i="25"/>
  <c r="G193" i="25"/>
  <c r="C202" i="25"/>
  <c r="G149" i="25"/>
  <c r="C204" i="25"/>
  <c r="C137" i="25"/>
  <c r="I182" i="25"/>
  <c r="C188" i="25"/>
  <c r="I177" i="25"/>
  <c r="I113" i="20"/>
  <c r="K113" i="20" s="1"/>
  <c r="G162" i="25"/>
  <c r="I185" i="20"/>
  <c r="K185" i="20" s="1"/>
  <c r="I68" i="20"/>
  <c r="K68" i="20" s="1"/>
  <c r="I196" i="25"/>
  <c r="I237" i="20"/>
  <c r="K237" i="20" s="1"/>
  <c r="I248" i="25"/>
  <c r="I230" i="25"/>
  <c r="I155" i="25"/>
  <c r="G190" i="25"/>
  <c r="G309" i="20"/>
  <c r="G253" i="25"/>
  <c r="I208" i="25"/>
  <c r="G49" i="20"/>
  <c r="I44" i="20"/>
  <c r="K44" i="20" s="1"/>
  <c r="C242" i="25"/>
  <c r="I211" i="25"/>
  <c r="H71" i="20"/>
  <c r="J135" i="20"/>
  <c r="J199" i="20"/>
  <c r="H209" i="20"/>
  <c r="H101" i="20"/>
  <c r="J190" i="20"/>
  <c r="J56" i="20"/>
  <c r="H120" i="20"/>
  <c r="J184" i="20"/>
  <c r="H41" i="20"/>
  <c r="H113" i="20"/>
  <c r="I217" i="20"/>
  <c r="K217" i="20" s="1"/>
  <c r="J58" i="20"/>
  <c r="J114" i="20"/>
  <c r="H170" i="20"/>
  <c r="H226" i="20"/>
  <c r="I141" i="20"/>
  <c r="K141" i="20" s="1"/>
  <c r="H78" i="20"/>
  <c r="G230" i="20"/>
  <c r="H27" i="20"/>
  <c r="J91" i="20"/>
  <c r="G147" i="20"/>
  <c r="H211" i="20"/>
  <c r="J307" i="20"/>
  <c r="J84" i="20"/>
  <c r="I180" i="20"/>
  <c r="K180" i="20" s="1"/>
  <c r="J189" i="20"/>
  <c r="H70" i="20"/>
  <c r="J132" i="20"/>
  <c r="H133" i="20"/>
  <c r="I142" i="20"/>
  <c r="K142" i="20" s="1"/>
  <c r="M106" i="20"/>
  <c r="Q106" i="20" s="1"/>
  <c r="I203" i="25"/>
  <c r="G179" i="25"/>
  <c r="M237" i="20"/>
  <c r="Q237" i="20" s="1"/>
  <c r="S237" i="20" s="1"/>
  <c r="M189" i="20"/>
  <c r="Q189" i="20" s="1"/>
  <c r="M110" i="20"/>
  <c r="Q110" i="20" s="1"/>
  <c r="M111" i="20"/>
  <c r="Q111" i="20" s="1"/>
  <c r="M92" i="20"/>
  <c r="Q92" i="20" s="1"/>
  <c r="M33" i="20"/>
  <c r="Q33" i="20" s="1"/>
  <c r="G211" i="25"/>
  <c r="M157" i="20"/>
  <c r="Q157" i="20" s="1"/>
  <c r="M236" i="20"/>
  <c r="Q236" i="20" s="1"/>
  <c r="M84" i="20"/>
  <c r="Q84" i="20" s="1"/>
  <c r="M144" i="20"/>
  <c r="Q144" i="20" s="1"/>
  <c r="M63" i="20"/>
  <c r="Q63" i="20" s="1"/>
  <c r="M325" i="20"/>
  <c r="Q325" i="20" s="1"/>
  <c r="M164" i="20"/>
  <c r="Q164" i="20" s="1"/>
  <c r="M65" i="20"/>
  <c r="Q65" i="20" s="1"/>
  <c r="G69" i="20"/>
  <c r="I84" i="20"/>
  <c r="K84" i="20" s="1"/>
  <c r="I72" i="20"/>
  <c r="K72" i="20" s="1"/>
  <c r="G216" i="25"/>
  <c r="I139" i="20"/>
  <c r="K139" i="20" s="1"/>
  <c r="I252" i="25"/>
  <c r="I234" i="25"/>
  <c r="I159" i="25"/>
  <c r="G154" i="25"/>
  <c r="G158" i="20"/>
  <c r="I314" i="20"/>
  <c r="K314" i="20" s="1"/>
  <c r="I138" i="20"/>
  <c r="K138" i="20" s="1"/>
  <c r="I131" i="20"/>
  <c r="K131" i="20" s="1"/>
  <c r="I33" i="20"/>
  <c r="K33" i="20" s="1"/>
  <c r="I48" i="20"/>
  <c r="K48" i="20" s="1"/>
  <c r="C222" i="25"/>
  <c r="I71" i="20"/>
  <c r="K71" i="20" s="1"/>
  <c r="H135" i="20"/>
  <c r="I199" i="20"/>
  <c r="K199" i="20" s="1"/>
  <c r="J209" i="20"/>
  <c r="I101" i="20"/>
  <c r="K101" i="20" s="1"/>
  <c r="H190" i="20"/>
  <c r="H56" i="20"/>
  <c r="J128" i="20"/>
  <c r="H184" i="20"/>
  <c r="G41" i="20"/>
  <c r="J113" i="20"/>
  <c r="H217" i="20"/>
  <c r="H58" i="20"/>
  <c r="H114" i="20"/>
  <c r="G178" i="20"/>
  <c r="G234" i="20"/>
  <c r="H141" i="20"/>
  <c r="J86" i="20"/>
  <c r="J230" i="20"/>
  <c r="I27" i="20"/>
  <c r="K27" i="20" s="1"/>
  <c r="H91" i="20"/>
  <c r="J155" i="20"/>
  <c r="J219" i="20"/>
  <c r="H307" i="20"/>
  <c r="H84" i="20"/>
  <c r="H180" i="20"/>
  <c r="G189" i="20"/>
  <c r="J94" i="20"/>
  <c r="H132" i="20"/>
  <c r="J133" i="20"/>
  <c r="H142" i="20"/>
  <c r="M126" i="20"/>
  <c r="Q126" i="20" s="1"/>
  <c r="M322" i="20"/>
  <c r="Q322" i="20" s="1"/>
  <c r="M209" i="20"/>
  <c r="Q209" i="20" s="1"/>
  <c r="M130" i="20"/>
  <c r="Q130" i="20" s="1"/>
  <c r="M131" i="20"/>
  <c r="Q131" i="20" s="1"/>
  <c r="M112" i="20"/>
  <c r="Q112" i="20" s="1"/>
  <c r="M53" i="20"/>
  <c r="Q53" i="20" s="1"/>
  <c r="G236" i="25"/>
  <c r="M305" i="20"/>
  <c r="Q305" i="20" s="1"/>
  <c r="M323" i="20"/>
  <c r="Q323" i="20" s="1"/>
  <c r="G219" i="25"/>
  <c r="G220" i="25"/>
  <c r="M85" i="20"/>
  <c r="Q85" i="20" s="1"/>
  <c r="I181" i="25"/>
  <c r="G168" i="20"/>
  <c r="C166" i="25"/>
  <c r="I185" i="25"/>
  <c r="G183" i="25"/>
  <c r="C162" i="25"/>
  <c r="G73" i="20"/>
  <c r="I76" i="20"/>
  <c r="K76" i="20" s="1"/>
  <c r="G167" i="25"/>
  <c r="I216" i="25"/>
  <c r="I256" i="25"/>
  <c r="I238" i="25"/>
  <c r="C220" i="25"/>
  <c r="C157" i="25"/>
  <c r="G208" i="25"/>
  <c r="G318" i="20"/>
  <c r="I304" i="20"/>
  <c r="K304" i="20" s="1"/>
  <c r="I179" i="25"/>
  <c r="I37" i="20"/>
  <c r="K37" i="20" s="1"/>
  <c r="I236" i="25"/>
  <c r="I224" i="25"/>
  <c r="J79" i="20"/>
  <c r="J143" i="20"/>
  <c r="H199" i="20"/>
  <c r="G209" i="20"/>
  <c r="J101" i="20"/>
  <c r="J64" i="20"/>
  <c r="I128" i="20"/>
  <c r="K128" i="20" s="1"/>
  <c r="G192" i="20"/>
  <c r="J41" i="20"/>
  <c r="H121" i="20"/>
  <c r="J217" i="20"/>
  <c r="J305" i="20"/>
  <c r="J66" i="20"/>
  <c r="G122" i="20"/>
  <c r="J178" i="20"/>
  <c r="J234" i="20"/>
  <c r="J141" i="20"/>
  <c r="I86" i="20"/>
  <c r="K86" i="20" s="1"/>
  <c r="H230" i="20"/>
  <c r="J35" i="20"/>
  <c r="J99" i="20"/>
  <c r="I155" i="20"/>
  <c r="K155" i="20" s="1"/>
  <c r="H219" i="20"/>
  <c r="J100" i="20"/>
  <c r="G196" i="20"/>
  <c r="I221" i="20"/>
  <c r="K221" i="20" s="1"/>
  <c r="I94" i="20"/>
  <c r="K94" i="20" s="1"/>
  <c r="G148" i="20"/>
  <c r="G133" i="20"/>
  <c r="J174" i="20"/>
  <c r="M146" i="20"/>
  <c r="Q146" i="20" s="1"/>
  <c r="M203" i="20"/>
  <c r="Q203" i="20" s="1"/>
  <c r="M229" i="20"/>
  <c r="Q229" i="20" s="1"/>
  <c r="M150" i="20"/>
  <c r="Q150" i="20" s="1"/>
  <c r="M151" i="20"/>
  <c r="Q151" i="20" s="1"/>
  <c r="M132" i="20"/>
  <c r="Q132" i="20" s="1"/>
  <c r="M73" i="20"/>
  <c r="Q73" i="20" s="1"/>
  <c r="I201" i="25"/>
  <c r="I257" i="25"/>
  <c r="G237" i="25"/>
  <c r="G196" i="25"/>
  <c r="G239" i="25"/>
  <c r="G240" i="25"/>
  <c r="I137" i="25"/>
  <c r="M105" i="20"/>
  <c r="Q105" i="20" s="1"/>
  <c r="I153" i="25"/>
  <c r="G228" i="20"/>
  <c r="I242" i="25"/>
  <c r="C224" i="25"/>
  <c r="G158" i="25"/>
  <c r="G88" i="20"/>
  <c r="I323" i="20"/>
  <c r="K323" i="20" s="1"/>
  <c r="I41" i="20"/>
  <c r="K41" i="20" s="1"/>
  <c r="G249" i="25"/>
  <c r="I258" i="25"/>
  <c r="I240" i="25"/>
  <c r="H79" i="20"/>
  <c r="H143" i="20"/>
  <c r="J207" i="20"/>
  <c r="I225" i="20"/>
  <c r="K225" i="20" s="1"/>
  <c r="H125" i="20"/>
  <c r="H64" i="20"/>
  <c r="H128" i="20"/>
  <c r="J192" i="20"/>
  <c r="J49" i="20"/>
  <c r="J121" i="20"/>
  <c r="H233" i="20"/>
  <c r="H305" i="20"/>
  <c r="H66" i="20"/>
  <c r="J122" i="20"/>
  <c r="H178" i="20"/>
  <c r="H234" i="20"/>
  <c r="I173" i="20"/>
  <c r="K173" i="20" s="1"/>
  <c r="H86" i="20"/>
  <c r="G35" i="20"/>
  <c r="I99" i="20"/>
  <c r="K99" i="20" s="1"/>
  <c r="H155" i="20"/>
  <c r="J227" i="20"/>
  <c r="H100" i="20"/>
  <c r="J196" i="20"/>
  <c r="H221" i="20"/>
  <c r="H94" i="20"/>
  <c r="J148" i="20"/>
  <c r="H165" i="20"/>
  <c r="H174" i="20"/>
  <c r="G305" i="20"/>
  <c r="I309" i="20"/>
  <c r="K309" i="20" s="1"/>
  <c r="M166" i="20"/>
  <c r="Q166" i="20" s="1"/>
  <c r="M27" i="20"/>
  <c r="Q27" i="20" s="1"/>
  <c r="G202" i="25"/>
  <c r="M309" i="20"/>
  <c r="Q309" i="20" s="1"/>
  <c r="M170" i="20"/>
  <c r="Q170" i="20" s="1"/>
  <c r="M171" i="20"/>
  <c r="Q171" i="20" s="1"/>
  <c r="M152" i="20"/>
  <c r="Q152" i="20" s="1"/>
  <c r="M93" i="20"/>
  <c r="Q93" i="20" s="1"/>
  <c r="I200" i="25"/>
  <c r="M303" i="20"/>
  <c r="Q303" i="20" s="1"/>
  <c r="I163" i="25"/>
  <c r="G258" i="25"/>
  <c r="I193" i="25"/>
  <c r="G174" i="25"/>
  <c r="M104" i="20"/>
  <c r="Q104" i="20" s="1"/>
  <c r="F69" i="12"/>
  <c r="F48" i="12"/>
  <c r="F27" i="12"/>
  <c r="F26" i="11"/>
  <c r="F60" i="10"/>
  <c r="F39" i="10"/>
  <c r="F61" i="9"/>
  <c r="F41" i="9"/>
  <c r="F20" i="9"/>
  <c r="F48" i="8"/>
  <c r="F26" i="8"/>
  <c r="F259" i="25"/>
  <c r="H252" i="25"/>
  <c r="J244" i="25"/>
  <c r="F238" i="25"/>
  <c r="H231" i="25"/>
  <c r="J224" i="25"/>
  <c r="F218" i="25"/>
  <c r="H209" i="25"/>
  <c r="J201" i="25"/>
  <c r="F194" i="25"/>
  <c r="J178" i="25"/>
  <c r="F171" i="25"/>
  <c r="J154" i="25"/>
  <c r="H138" i="25"/>
  <c r="J184" i="25"/>
  <c r="F154" i="25"/>
  <c r="H230" i="25"/>
  <c r="H184" i="25"/>
  <c r="H161" i="25"/>
  <c r="F184" i="25"/>
  <c r="J144" i="25"/>
  <c r="F243" i="25"/>
  <c r="F200" i="25"/>
  <c r="J159" i="25"/>
  <c r="J194" i="25"/>
  <c r="F68" i="12"/>
  <c r="F47" i="12"/>
  <c r="F26" i="12"/>
  <c r="F25" i="11"/>
  <c r="F59" i="10"/>
  <c r="F38" i="10"/>
  <c r="F60" i="9"/>
  <c r="F40" i="9"/>
  <c r="F47" i="8"/>
  <c r="F25" i="8"/>
  <c r="J258" i="25"/>
  <c r="F252" i="25"/>
  <c r="H244" i="25"/>
  <c r="J237" i="25"/>
  <c r="F231" i="25"/>
  <c r="H224" i="25"/>
  <c r="J216" i="25"/>
  <c r="F209" i="25"/>
  <c r="H201" i="25"/>
  <c r="J193" i="25"/>
  <c r="F185" i="25"/>
  <c r="H178" i="25"/>
  <c r="J169" i="25"/>
  <c r="F162" i="25"/>
  <c r="H154" i="25"/>
  <c r="J146" i="25"/>
  <c r="F138" i="25"/>
  <c r="F178" i="25"/>
  <c r="H146" i="25"/>
  <c r="J223" i="25"/>
  <c r="J177" i="25"/>
  <c r="H137" i="25"/>
  <c r="F161" i="25"/>
  <c r="J250" i="25"/>
  <c r="H168" i="25"/>
  <c r="J238" i="25"/>
  <c r="F67" i="12"/>
  <c r="F46" i="12"/>
  <c r="F25" i="12"/>
  <c r="F24" i="11"/>
  <c r="F58" i="10"/>
  <c r="F37" i="10"/>
  <c r="F59" i="9"/>
  <c r="F39" i="9"/>
  <c r="F67" i="8"/>
  <c r="F46" i="8"/>
  <c r="F24" i="8"/>
  <c r="H258" i="25"/>
  <c r="J251" i="25"/>
  <c r="F244" i="25"/>
  <c r="H237" i="25"/>
  <c r="J230" i="25"/>
  <c r="F224" i="25"/>
  <c r="H216" i="25"/>
  <c r="J208" i="25"/>
  <c r="H193" i="25"/>
  <c r="H169" i="25"/>
  <c r="J137" i="25"/>
  <c r="H208" i="25"/>
  <c r="F169" i="25"/>
  <c r="J168" i="25"/>
  <c r="H236" i="25"/>
  <c r="F177" i="25"/>
  <c r="F152" i="25"/>
  <c r="H225" i="25"/>
  <c r="F66" i="12"/>
  <c r="F45" i="12"/>
  <c r="F24" i="12"/>
  <c r="F23" i="11"/>
  <c r="F57" i="10"/>
  <c r="F36" i="10"/>
  <c r="F58" i="9"/>
  <c r="F37" i="9"/>
  <c r="F66" i="8"/>
  <c r="F45" i="8"/>
  <c r="F23" i="8"/>
  <c r="F258" i="25"/>
  <c r="H251" i="25"/>
  <c r="J243" i="25"/>
  <c r="F237" i="25"/>
  <c r="F216" i="25"/>
  <c r="F193" i="25"/>
  <c r="F146" i="25"/>
  <c r="F137" i="25"/>
  <c r="F223" i="25"/>
  <c r="H191" i="25"/>
  <c r="H144" i="25"/>
  <c r="F139" i="25"/>
  <c r="F65" i="12"/>
  <c r="F44" i="12"/>
  <c r="F23" i="12"/>
  <c r="F22" i="11"/>
  <c r="F56" i="10"/>
  <c r="F35" i="10"/>
  <c r="F57" i="9"/>
  <c r="F36" i="9"/>
  <c r="F65" i="8"/>
  <c r="F44" i="8"/>
  <c r="F22" i="8"/>
  <c r="J257" i="25"/>
  <c r="F251" i="25"/>
  <c r="H243" i="25"/>
  <c r="J236" i="25"/>
  <c r="F230" i="25"/>
  <c r="H223" i="25"/>
  <c r="J215" i="25"/>
  <c r="F208" i="25"/>
  <c r="H200" i="25"/>
  <c r="J191" i="25"/>
  <c r="H177" i="25"/>
  <c r="H257" i="25"/>
  <c r="J206" i="25"/>
  <c r="F153" i="25"/>
  <c r="J171" i="25"/>
  <c r="F85" i="12"/>
  <c r="F64" i="12"/>
  <c r="F43" i="12"/>
  <c r="F21" i="11"/>
  <c r="F55" i="10"/>
  <c r="F33" i="10"/>
  <c r="F56" i="9"/>
  <c r="F35" i="9"/>
  <c r="F64" i="8"/>
  <c r="F43" i="8"/>
  <c r="H215" i="25"/>
  <c r="J136" i="25"/>
  <c r="J147" i="25"/>
  <c r="F84" i="12"/>
  <c r="F63" i="12"/>
  <c r="F42" i="12"/>
  <c r="F20" i="11"/>
  <c r="F54" i="10"/>
  <c r="F32" i="10"/>
  <c r="F55" i="9"/>
  <c r="F34" i="9"/>
  <c r="F63" i="8"/>
  <c r="F42" i="8"/>
  <c r="F257" i="25"/>
  <c r="H250" i="25"/>
  <c r="J242" i="25"/>
  <c r="F236" i="25"/>
  <c r="H229" i="25"/>
  <c r="J222" i="25"/>
  <c r="F215" i="25"/>
  <c r="H206" i="25"/>
  <c r="J198" i="25"/>
  <c r="F191" i="25"/>
  <c r="H183" i="25"/>
  <c r="J176" i="25"/>
  <c r="F168" i="25"/>
  <c r="H159" i="25"/>
  <c r="J152" i="25"/>
  <c r="F144" i="25"/>
  <c r="H136" i="25"/>
  <c r="H143" i="25"/>
  <c r="F83" i="12"/>
  <c r="F61" i="12"/>
  <c r="F41" i="12"/>
  <c r="F53" i="10"/>
  <c r="F31" i="10"/>
  <c r="F54" i="9"/>
  <c r="F33" i="9"/>
  <c r="F62" i="8"/>
  <c r="F41" i="8"/>
  <c r="J256" i="25"/>
  <c r="F250" i="25"/>
  <c r="H242" i="25"/>
  <c r="J235" i="25"/>
  <c r="F229" i="25"/>
  <c r="H222" i="25"/>
  <c r="J214" i="25"/>
  <c r="F206" i="25"/>
  <c r="H198" i="25"/>
  <c r="J190" i="25"/>
  <c r="F183" i="25"/>
  <c r="H176" i="25"/>
  <c r="J167" i="25"/>
  <c r="F159" i="25"/>
  <c r="H152" i="25"/>
  <c r="J143" i="25"/>
  <c r="F136" i="25"/>
  <c r="H167" i="25"/>
  <c r="F163" i="25"/>
  <c r="F82" i="12"/>
  <c r="F60" i="12"/>
  <c r="F40" i="12"/>
  <c r="F74" i="10"/>
  <c r="F52" i="10"/>
  <c r="F30" i="10"/>
  <c r="F53" i="9"/>
  <c r="F32" i="9"/>
  <c r="F61" i="8"/>
  <c r="F40" i="8"/>
  <c r="H256" i="25"/>
  <c r="J249" i="25"/>
  <c r="F242" i="25"/>
  <c r="H235" i="25"/>
  <c r="J228" i="25"/>
  <c r="F222" i="25"/>
  <c r="H214" i="25"/>
  <c r="J205" i="25"/>
  <c r="F198" i="25"/>
  <c r="H190" i="25"/>
  <c r="J182" i="25"/>
  <c r="F176" i="25"/>
  <c r="J158" i="25"/>
  <c r="H179" i="25"/>
  <c r="F81" i="12"/>
  <c r="F59" i="12"/>
  <c r="F39" i="12"/>
  <c r="F37" i="11"/>
  <c r="F73" i="10"/>
  <c r="F50" i="10"/>
  <c r="F29" i="10"/>
  <c r="F52" i="9"/>
  <c r="F31" i="9"/>
  <c r="F60" i="8"/>
  <c r="F39" i="8"/>
  <c r="F256" i="25"/>
  <c r="H249" i="25"/>
  <c r="J241" i="25"/>
  <c r="F235" i="25"/>
  <c r="H228" i="25"/>
  <c r="J221" i="25"/>
  <c r="F214" i="25"/>
  <c r="H205" i="25"/>
  <c r="J197" i="25"/>
  <c r="F190" i="25"/>
  <c r="H182" i="25"/>
  <c r="J175" i="25"/>
  <c r="F167" i="25"/>
  <c r="H158" i="25"/>
  <c r="J151" i="25"/>
  <c r="F143" i="25"/>
  <c r="F196" i="25"/>
  <c r="H140" i="25"/>
  <c r="F21" i="10"/>
  <c r="H253" i="25"/>
  <c r="F195" i="25"/>
  <c r="J155" i="25"/>
  <c r="F50" i="12"/>
  <c r="F41" i="10"/>
  <c r="F28" i="8"/>
  <c r="H245" i="25"/>
  <c r="F80" i="12"/>
  <c r="F58" i="12"/>
  <c r="F38" i="12"/>
  <c r="F36" i="11"/>
  <c r="F72" i="10"/>
  <c r="F49" i="10"/>
  <c r="F28" i="10"/>
  <c r="F51" i="9"/>
  <c r="F30" i="9"/>
  <c r="F59" i="8"/>
  <c r="F38" i="8"/>
  <c r="J255" i="25"/>
  <c r="F249" i="25"/>
  <c r="H241" i="25"/>
  <c r="J234" i="25"/>
  <c r="F228" i="25"/>
  <c r="H221" i="25"/>
  <c r="J213" i="25"/>
  <c r="F205" i="25"/>
  <c r="H197" i="25"/>
  <c r="J188" i="25"/>
  <c r="F182" i="25"/>
  <c r="H175" i="25"/>
  <c r="J166" i="25"/>
  <c r="F158" i="25"/>
  <c r="H151" i="25"/>
  <c r="J141" i="25"/>
  <c r="F188" i="25"/>
  <c r="J174" i="25"/>
  <c r="J149" i="25"/>
  <c r="F181" i="25"/>
  <c r="H149" i="25"/>
  <c r="J203" i="25"/>
  <c r="H165" i="25"/>
  <c r="F64" i="10"/>
  <c r="J202" i="25"/>
  <c r="F186" i="25"/>
  <c r="F79" i="12"/>
  <c r="F57" i="12"/>
  <c r="F37" i="12"/>
  <c r="F35" i="11"/>
  <c r="F71" i="10"/>
  <c r="F48" i="10"/>
  <c r="F27" i="10"/>
  <c r="F50" i="9"/>
  <c r="F29" i="9"/>
  <c r="F58" i="8"/>
  <c r="F37" i="8"/>
  <c r="H255" i="25"/>
  <c r="J248" i="25"/>
  <c r="F241" i="25"/>
  <c r="H234" i="25"/>
  <c r="J227" i="25"/>
  <c r="F221" i="25"/>
  <c r="H213" i="25"/>
  <c r="J204" i="25"/>
  <c r="F197" i="25"/>
  <c r="H188" i="25"/>
  <c r="J181" i="25"/>
  <c r="F175" i="25"/>
  <c r="H166" i="25"/>
  <c r="J157" i="25"/>
  <c r="F151" i="25"/>
  <c r="H141" i="25"/>
  <c r="J196" i="25"/>
  <c r="F166" i="25"/>
  <c r="F141" i="25"/>
  <c r="J187" i="25"/>
  <c r="F157" i="25"/>
  <c r="H211" i="25"/>
  <c r="J156" i="25"/>
  <c r="F29" i="11"/>
  <c r="F219" i="25"/>
  <c r="H163" i="25"/>
  <c r="F62" i="10"/>
  <c r="F22" i="9"/>
  <c r="J218" i="25"/>
  <c r="F78" i="12"/>
  <c r="F56" i="12"/>
  <c r="F36" i="12"/>
  <c r="F34" i="11"/>
  <c r="F70" i="10"/>
  <c r="F47" i="10"/>
  <c r="F26" i="10"/>
  <c r="F49" i="9"/>
  <c r="F28" i="9"/>
  <c r="F57" i="8"/>
  <c r="F36" i="8"/>
  <c r="F255" i="25"/>
  <c r="H248" i="25"/>
  <c r="J240" i="25"/>
  <c r="F234" i="25"/>
  <c r="H227" i="25"/>
  <c r="J220" i="25"/>
  <c r="F213" i="25"/>
  <c r="H204" i="25"/>
  <c r="H181" i="25"/>
  <c r="H157" i="25"/>
  <c r="J140" i="25"/>
  <c r="H187" i="25"/>
  <c r="F149" i="25"/>
  <c r="F42" i="10"/>
  <c r="J225" i="25"/>
  <c r="F172" i="25"/>
  <c r="F29" i="12"/>
  <c r="F43" i="9"/>
  <c r="J259" i="25"/>
  <c r="F77" i="12"/>
  <c r="F55" i="12"/>
  <c r="F35" i="12"/>
  <c r="F33" i="11"/>
  <c r="F69" i="10"/>
  <c r="F46" i="10"/>
  <c r="F25" i="10"/>
  <c r="F48" i="9"/>
  <c r="F27" i="9"/>
  <c r="F56" i="8"/>
  <c r="F34" i="8"/>
  <c r="J254" i="25"/>
  <c r="F248" i="25"/>
  <c r="H240" i="25"/>
  <c r="J233" i="25"/>
  <c r="F227" i="25"/>
  <c r="H220" i="25"/>
  <c r="J211" i="25"/>
  <c r="F204" i="25"/>
  <c r="H196" i="25"/>
  <c r="H174" i="25"/>
  <c r="J165" i="25"/>
  <c r="F174" i="25"/>
  <c r="F51" i="12"/>
  <c r="H186" i="25"/>
  <c r="F71" i="12"/>
  <c r="F253" i="25"/>
  <c r="F76" i="12"/>
  <c r="F54" i="12"/>
  <c r="F34" i="12"/>
  <c r="F32" i="11"/>
  <c r="F67" i="10"/>
  <c r="F45" i="10"/>
  <c r="F24" i="10"/>
  <c r="F47" i="9"/>
  <c r="F26" i="9"/>
  <c r="F55" i="8"/>
  <c r="F33" i="8"/>
  <c r="H254" i="25"/>
  <c r="J246" i="25"/>
  <c r="F240" i="25"/>
  <c r="H233" i="25"/>
  <c r="J226" i="25"/>
  <c r="F220" i="25"/>
  <c r="J180" i="25"/>
  <c r="F23" i="9"/>
  <c r="H232" i="25"/>
  <c r="H139" i="25"/>
  <c r="F210" i="25"/>
  <c r="F74" i="12"/>
  <c r="F53" i="12"/>
  <c r="F33" i="12"/>
  <c r="F31" i="11"/>
  <c r="F66" i="10"/>
  <c r="F44" i="10"/>
  <c r="F23" i="10"/>
  <c r="F46" i="9"/>
  <c r="F25" i="9"/>
  <c r="F54" i="8"/>
  <c r="F32" i="8"/>
  <c r="F254" i="25"/>
  <c r="H246" i="25"/>
  <c r="J239" i="25"/>
  <c r="F233" i="25"/>
  <c r="H226" i="25"/>
  <c r="J219" i="25"/>
  <c r="F211" i="25"/>
  <c r="H203" i="25"/>
  <c r="J195" i="25"/>
  <c r="F187" i="25"/>
  <c r="H180" i="25"/>
  <c r="J172" i="25"/>
  <c r="F165" i="25"/>
  <c r="H156" i="25"/>
  <c r="J148" i="25"/>
  <c r="F140" i="25"/>
  <c r="F30" i="12"/>
  <c r="F51" i="8"/>
  <c r="F239" i="25"/>
  <c r="F232" i="25"/>
  <c r="F73" i="12"/>
  <c r="F52" i="12"/>
  <c r="F31" i="12"/>
  <c r="F30" i="11"/>
  <c r="F65" i="10"/>
  <c r="F43" i="10"/>
  <c r="F22" i="10"/>
  <c r="F45" i="9"/>
  <c r="F24" i="9"/>
  <c r="F53" i="8"/>
  <c r="F31" i="8"/>
  <c r="J253" i="25"/>
  <c r="F246" i="25"/>
  <c r="H239" i="25"/>
  <c r="J232" i="25"/>
  <c r="F226" i="25"/>
  <c r="H219" i="25"/>
  <c r="J210" i="25"/>
  <c r="F203" i="25"/>
  <c r="H195" i="25"/>
  <c r="J186" i="25"/>
  <c r="F180" i="25"/>
  <c r="H172" i="25"/>
  <c r="J163" i="25"/>
  <c r="F156" i="25"/>
  <c r="H148" i="25"/>
  <c r="J139" i="25"/>
  <c r="F72" i="12"/>
  <c r="F44" i="9"/>
  <c r="F30" i="8"/>
  <c r="J245" i="25"/>
  <c r="H210" i="25"/>
  <c r="J179" i="25"/>
  <c r="F148" i="25"/>
  <c r="F28" i="11"/>
  <c r="F20" i="10"/>
  <c r="F50" i="8"/>
  <c r="H202" i="25"/>
  <c r="F70" i="12"/>
  <c r="F49" i="12"/>
  <c r="F28" i="12"/>
  <c r="F27" i="11"/>
  <c r="F61" i="10"/>
  <c r="F40" i="10"/>
  <c r="F42" i="9"/>
  <c r="F21" i="9"/>
  <c r="F49" i="8"/>
  <c r="F27" i="8"/>
  <c r="H259" i="25"/>
  <c r="J252" i="25"/>
  <c r="F245" i="25"/>
  <c r="H238" i="25"/>
  <c r="J231" i="25"/>
  <c r="F225" i="25"/>
  <c r="H218" i="25"/>
  <c r="J209" i="25"/>
  <c r="F202" i="25"/>
  <c r="H194" i="25"/>
  <c r="J185" i="25"/>
  <c r="F179" i="25"/>
  <c r="H171" i="25"/>
  <c r="J162" i="25"/>
  <c r="F155" i="25"/>
  <c r="H147" i="25"/>
  <c r="J138" i="25"/>
  <c r="H185" i="25"/>
  <c r="H162" i="25"/>
  <c r="F147" i="25"/>
  <c r="F201" i="25"/>
  <c r="J161" i="25"/>
  <c r="J200" i="25"/>
  <c r="J153" i="25"/>
  <c r="H153" i="25"/>
  <c r="J229" i="25"/>
  <c r="J183" i="25"/>
  <c r="H155" i="25"/>
  <c r="E191" i="25"/>
  <c r="E190" i="25"/>
  <c r="C214" i="25"/>
  <c r="I174" i="20"/>
  <c r="K174" i="20" s="1"/>
  <c r="G87" i="20"/>
  <c r="I188" i="25"/>
  <c r="C216" i="25"/>
  <c r="C155" i="25"/>
  <c r="I156" i="25"/>
  <c r="I246" i="25"/>
  <c r="C228" i="25"/>
  <c r="C249" i="25"/>
  <c r="C156" i="25"/>
  <c r="H320" i="20"/>
  <c r="I45" i="20"/>
  <c r="K45" i="20" s="1"/>
  <c r="G163" i="25"/>
  <c r="I147" i="20"/>
  <c r="K147" i="20" s="1"/>
  <c r="C230" i="25"/>
  <c r="I234" i="20"/>
  <c r="K234" i="20" s="1"/>
  <c r="J87" i="20"/>
  <c r="J151" i="20"/>
  <c r="H207" i="20"/>
  <c r="J303" i="20"/>
  <c r="H225" i="20"/>
  <c r="J125" i="20"/>
  <c r="J72" i="20"/>
  <c r="G136" i="20"/>
  <c r="H192" i="20"/>
  <c r="H49" i="20"/>
  <c r="G121" i="20"/>
  <c r="J233" i="20"/>
  <c r="J74" i="20"/>
  <c r="H122" i="20"/>
  <c r="J186" i="20"/>
  <c r="H173" i="20"/>
  <c r="J102" i="20"/>
  <c r="H35" i="20"/>
  <c r="H99" i="20"/>
  <c r="J163" i="20"/>
  <c r="H227" i="20"/>
  <c r="J116" i="20"/>
  <c r="H196" i="20"/>
  <c r="J221" i="20"/>
  <c r="J110" i="20"/>
  <c r="H148" i="20"/>
  <c r="I165" i="20"/>
  <c r="K165" i="20" s="1"/>
  <c r="G214" i="20"/>
  <c r="M186" i="20"/>
  <c r="Q186" i="20" s="1"/>
  <c r="M47" i="20"/>
  <c r="Q47" i="20" s="1"/>
  <c r="M329" i="20"/>
  <c r="Q329" i="20" s="1"/>
  <c r="M190" i="20"/>
  <c r="Q190" i="20" s="1"/>
  <c r="M191" i="20"/>
  <c r="Q191" i="20" s="1"/>
  <c r="M172" i="20"/>
  <c r="Q172" i="20" s="1"/>
  <c r="M113" i="20"/>
  <c r="Q113" i="20" s="1"/>
  <c r="I186" i="25"/>
  <c r="I206" i="25"/>
  <c r="I169" i="25"/>
  <c r="G187" i="25"/>
  <c r="G188" i="25"/>
  <c r="M324" i="20"/>
  <c r="Q324" i="20" s="1"/>
  <c r="M145" i="20"/>
  <c r="Q145" i="20" s="1"/>
  <c r="C147" i="25"/>
  <c r="G166" i="20"/>
  <c r="G26" i="20"/>
  <c r="G77" i="20"/>
  <c r="C136" i="25"/>
  <c r="I170" i="20"/>
  <c r="K170" i="20" s="1"/>
  <c r="I178" i="25"/>
  <c r="I148" i="25"/>
  <c r="G195" i="25"/>
  <c r="C159" i="25"/>
  <c r="G218" i="25"/>
  <c r="G232" i="20"/>
  <c r="C232" i="25"/>
  <c r="C253" i="25"/>
  <c r="I149" i="20"/>
  <c r="K149" i="20" s="1"/>
  <c r="G153" i="25"/>
  <c r="I49" i="20"/>
  <c r="K49" i="20" s="1"/>
  <c r="I144" i="20"/>
  <c r="K144" i="20" s="1"/>
  <c r="C238" i="25"/>
  <c r="G75" i="20"/>
  <c r="I87" i="20"/>
  <c r="K87" i="20" s="1"/>
  <c r="I151" i="20"/>
  <c r="K151" i="20" s="1"/>
  <c r="J215" i="20"/>
  <c r="H303" i="20"/>
  <c r="J225" i="20"/>
  <c r="G125" i="20"/>
  <c r="H72" i="20"/>
  <c r="J136" i="20"/>
  <c r="G200" i="20"/>
  <c r="H57" i="20"/>
  <c r="H137" i="20"/>
  <c r="G233" i="20"/>
  <c r="I74" i="20"/>
  <c r="K74" i="20" s="1"/>
  <c r="J130" i="20"/>
  <c r="H186" i="20"/>
  <c r="J173" i="20"/>
  <c r="I102" i="20"/>
  <c r="K102" i="20" s="1"/>
  <c r="J43" i="20"/>
  <c r="J107" i="20"/>
  <c r="H163" i="20"/>
  <c r="J235" i="20"/>
  <c r="J28" i="20"/>
  <c r="I116" i="20"/>
  <c r="K116" i="20" s="1"/>
  <c r="G212" i="20"/>
  <c r="H237" i="20"/>
  <c r="I110" i="20"/>
  <c r="K110" i="20" s="1"/>
  <c r="J172" i="20"/>
  <c r="J165" i="20"/>
  <c r="J214" i="20"/>
  <c r="M206" i="20"/>
  <c r="Q206" i="20" s="1"/>
  <c r="M67" i="20"/>
  <c r="Q67" i="20" s="1"/>
  <c r="G227" i="25"/>
  <c r="M230" i="20"/>
  <c r="Q230" i="20" s="1"/>
  <c r="M210" i="20"/>
  <c r="Q210" i="20" s="1"/>
  <c r="M211" i="20"/>
  <c r="Q211" i="20" s="1"/>
  <c r="M192" i="20"/>
  <c r="Q192" i="20" s="1"/>
  <c r="M133" i="20"/>
  <c r="Q133" i="20" s="1"/>
  <c r="M34" i="20"/>
  <c r="Q34" i="20" s="1"/>
  <c r="M64" i="20"/>
  <c r="Q64" i="20" s="1"/>
  <c r="G143" i="25"/>
  <c r="M165" i="20"/>
  <c r="Q165" i="20" s="1"/>
  <c r="C176" i="25"/>
  <c r="G104" i="20"/>
  <c r="I129" i="20"/>
  <c r="K129" i="20" s="1"/>
  <c r="G191" i="25"/>
  <c r="G162" i="20"/>
  <c r="G100" i="20"/>
  <c r="C180" i="25"/>
  <c r="G161" i="25"/>
  <c r="C250" i="25"/>
  <c r="I166" i="20"/>
  <c r="K166" i="20" s="1"/>
  <c r="I108" i="20"/>
  <c r="K108" i="20" s="1"/>
  <c r="G106" i="20"/>
  <c r="I166" i="25"/>
  <c r="G140" i="25"/>
  <c r="I183" i="25"/>
  <c r="C195" i="25"/>
  <c r="G141" i="20"/>
  <c r="I223" i="25"/>
  <c r="C221" i="25"/>
  <c r="G251" i="25"/>
  <c r="C236" i="25"/>
  <c r="C257" i="25"/>
  <c r="I158" i="20"/>
  <c r="K158" i="20" s="1"/>
  <c r="G257" i="25"/>
  <c r="I232" i="25"/>
  <c r="I228" i="25"/>
  <c r="C144" i="25"/>
  <c r="G183" i="20"/>
  <c r="J31" i="20"/>
  <c r="H87" i="20"/>
  <c r="H151" i="20"/>
  <c r="H215" i="20"/>
  <c r="H311" i="20"/>
  <c r="H157" i="20"/>
  <c r="G80" i="20"/>
  <c r="H136" i="20"/>
  <c r="J200" i="20"/>
  <c r="J57" i="20"/>
  <c r="J137" i="20"/>
  <c r="H74" i="20"/>
  <c r="I130" i="20"/>
  <c r="K130" i="20" s="1"/>
  <c r="G194" i="20"/>
  <c r="H197" i="20"/>
  <c r="H102" i="20"/>
  <c r="H43" i="20"/>
  <c r="I107" i="20"/>
  <c r="K107" i="20" s="1"/>
  <c r="G163" i="20"/>
  <c r="H235" i="20"/>
  <c r="I28" i="20"/>
  <c r="K28" i="20" s="1"/>
  <c r="H116" i="20"/>
  <c r="J212" i="20"/>
  <c r="J237" i="20"/>
  <c r="N237" i="20" s="1"/>
  <c r="H110" i="20"/>
  <c r="I172" i="20"/>
  <c r="K172" i="20" s="1"/>
  <c r="H213" i="20"/>
  <c r="H214" i="20"/>
  <c r="M226" i="20"/>
  <c r="Q226" i="20" s="1"/>
  <c r="M87" i="20"/>
  <c r="Q87" i="20" s="1"/>
  <c r="M28" i="20"/>
  <c r="Q28" i="20" s="1"/>
  <c r="I198" i="25"/>
  <c r="M331" i="20"/>
  <c r="Q331" i="20" s="1"/>
  <c r="M310" i="20"/>
  <c r="Q310" i="20" s="1"/>
  <c r="M231" i="20"/>
  <c r="Q231" i="20" s="1"/>
  <c r="M212" i="20"/>
  <c r="Q212" i="20" s="1"/>
  <c r="M153" i="20"/>
  <c r="Q153" i="20" s="1"/>
  <c r="M54" i="20"/>
  <c r="Q54" i="20" s="1"/>
  <c r="I149" i="25"/>
  <c r="I157" i="25"/>
  <c r="G223" i="25"/>
  <c r="M185" i="20"/>
  <c r="Q185" i="20" s="1"/>
  <c r="G170" i="20"/>
  <c r="I126" i="20"/>
  <c r="K126" i="20" s="1"/>
  <c r="C152" i="25"/>
  <c r="C201" i="25"/>
  <c r="C194" i="25"/>
  <c r="I162" i="20"/>
  <c r="K162" i="20" s="1"/>
  <c r="I104" i="20"/>
  <c r="K104" i="20" s="1"/>
  <c r="G171" i="25"/>
  <c r="G102" i="20"/>
  <c r="G166" i="25"/>
  <c r="I83" i="20"/>
  <c r="K83" i="20" s="1"/>
  <c r="C178" i="25"/>
  <c r="G157" i="20"/>
  <c r="G68" i="20"/>
  <c r="I227" i="25"/>
  <c r="G222" i="25"/>
  <c r="G236" i="20"/>
  <c r="C254" i="25"/>
  <c r="C240" i="25"/>
  <c r="I151" i="25"/>
  <c r="I209" i="25"/>
  <c r="I150" i="20"/>
  <c r="K150" i="20" s="1"/>
  <c r="I221" i="25"/>
  <c r="I190" i="25"/>
  <c r="G254" i="25"/>
  <c r="G67" i="20"/>
  <c r="I39" i="20"/>
  <c r="K39" i="20" s="1"/>
  <c r="C139" i="25"/>
  <c r="H31" i="20"/>
  <c r="J95" i="20"/>
  <c r="J159" i="20"/>
  <c r="J223" i="20"/>
  <c r="I89" i="20"/>
  <c r="K89" i="20" s="1"/>
  <c r="J157" i="20"/>
  <c r="J80" i="20"/>
  <c r="G144" i="20"/>
  <c r="H200" i="20"/>
  <c r="J65" i="20"/>
  <c r="H145" i="20"/>
  <c r="J82" i="20"/>
  <c r="H130" i="20"/>
  <c r="J194" i="20"/>
  <c r="J197" i="20"/>
  <c r="G118" i="20"/>
  <c r="G43" i="20"/>
  <c r="H107" i="20"/>
  <c r="J171" i="20"/>
  <c r="G235" i="20"/>
  <c r="H28" i="20"/>
  <c r="J124" i="20"/>
  <c r="H212" i="20"/>
  <c r="G237" i="20"/>
  <c r="J126" i="20"/>
  <c r="H172" i="20"/>
  <c r="J213" i="20"/>
  <c r="M306" i="20"/>
  <c r="Q306" i="20" s="1"/>
  <c r="M107" i="20"/>
  <c r="Q107" i="20" s="1"/>
  <c r="M48" i="20"/>
  <c r="Q48" i="20" s="1"/>
  <c r="G180" i="25"/>
  <c r="M217" i="20"/>
  <c r="Q217" i="20" s="1"/>
  <c r="M314" i="20"/>
  <c r="Q314" i="20" s="1"/>
  <c r="M311" i="20"/>
  <c r="Q311" i="20" s="1"/>
  <c r="M232" i="20"/>
  <c r="Q232" i="20" s="1"/>
  <c r="M173" i="20"/>
  <c r="Q173" i="20" s="1"/>
  <c r="M74" i="20"/>
  <c r="Q74" i="20" s="1"/>
  <c r="M35" i="20"/>
  <c r="Q35" i="20" s="1"/>
  <c r="G235" i="25"/>
  <c r="I140" i="25"/>
  <c r="G243" i="25"/>
  <c r="M205" i="20"/>
  <c r="Q205" i="20" s="1"/>
  <c r="G108" i="20"/>
  <c r="G137" i="25"/>
  <c r="C172" i="25"/>
  <c r="G111" i="20"/>
  <c r="I100" i="20"/>
  <c r="K100" i="20" s="1"/>
  <c r="G139" i="25"/>
  <c r="G98" i="20"/>
  <c r="C168" i="25"/>
  <c r="I91" i="20"/>
  <c r="K91" i="20" s="1"/>
  <c r="G93" i="20"/>
  <c r="G161" i="20"/>
  <c r="C163" i="25"/>
  <c r="G145" i="20"/>
  <c r="I231" i="25"/>
  <c r="C225" i="25"/>
  <c r="G143" i="20"/>
  <c r="G255" i="25"/>
  <c r="C244" i="25"/>
  <c r="I154" i="25"/>
  <c r="G116" i="20"/>
  <c r="G198" i="25"/>
  <c r="I225" i="25"/>
  <c r="I34" i="20"/>
  <c r="K34" i="20" s="1"/>
  <c r="G142" i="20"/>
  <c r="I43" i="20"/>
  <c r="K43" i="20" s="1"/>
  <c r="I31" i="20"/>
  <c r="K31" i="20" s="1"/>
  <c r="H95" i="20"/>
  <c r="I159" i="20"/>
  <c r="K159" i="20" s="1"/>
  <c r="H223" i="20"/>
  <c r="H89" i="20"/>
  <c r="H181" i="20"/>
  <c r="H80" i="20"/>
  <c r="J144" i="20"/>
  <c r="G208" i="20"/>
  <c r="H65" i="20"/>
  <c r="J145" i="20"/>
  <c r="J26" i="20"/>
  <c r="I82" i="20"/>
  <c r="K82" i="20" s="1"/>
  <c r="G138" i="20"/>
  <c r="H194" i="20"/>
  <c r="G197" i="20"/>
  <c r="J118" i="20"/>
  <c r="J51" i="20"/>
  <c r="J115" i="20"/>
  <c r="H171" i="20"/>
  <c r="J36" i="20"/>
  <c r="H124" i="20"/>
  <c r="J228" i="20"/>
  <c r="H308" i="20"/>
  <c r="H126" i="20"/>
  <c r="G188" i="20"/>
  <c r="G213" i="20"/>
  <c r="G306" i="20"/>
  <c r="G224" i="25"/>
  <c r="M326" i="20"/>
  <c r="Q326" i="20" s="1"/>
  <c r="M127" i="20"/>
  <c r="Q127" i="20" s="1"/>
  <c r="M68" i="20"/>
  <c r="Q68" i="20" s="1"/>
  <c r="M43" i="20"/>
  <c r="Q43" i="20" s="1"/>
  <c r="M204" i="20"/>
  <c r="Q204" i="20" s="1"/>
  <c r="M177" i="20"/>
  <c r="Q177" i="20" s="1"/>
  <c r="M312" i="20"/>
  <c r="Q312" i="20" s="1"/>
  <c r="M193" i="20"/>
  <c r="Q193" i="20" s="1"/>
  <c r="M94" i="20"/>
  <c r="Q94" i="20" s="1"/>
  <c r="M55" i="20"/>
  <c r="Q55" i="20" s="1"/>
  <c r="I141" i="25"/>
  <c r="M40" i="20"/>
  <c r="Q40" i="20" s="1"/>
  <c r="I197" i="25"/>
  <c r="M225" i="20"/>
  <c r="Q225" i="20" s="1"/>
  <c r="G327" i="20"/>
  <c r="G316" i="20"/>
  <c r="I324" i="20"/>
  <c r="K324" i="20" s="1"/>
  <c r="J313" i="20"/>
  <c r="H316" i="20"/>
  <c r="I318" i="20"/>
  <c r="K318" i="20" s="1"/>
  <c r="I316" i="20"/>
  <c r="K316" i="20" s="1"/>
  <c r="I321" i="20"/>
  <c r="K321" i="20" s="1"/>
  <c r="G325" i="20"/>
  <c r="H325" i="20"/>
  <c r="G319" i="20"/>
  <c r="H321" i="20"/>
  <c r="J331" i="20"/>
  <c r="H331" i="20"/>
  <c r="J325" i="20"/>
  <c r="J320" i="20"/>
  <c r="G323" i="20"/>
  <c r="J323" i="20"/>
  <c r="I317" i="20"/>
  <c r="K317" i="20" s="1"/>
  <c r="J319" i="20"/>
  <c r="H313" i="20"/>
  <c r="H328" i="20"/>
  <c r="J316" i="20"/>
  <c r="G310" i="20"/>
  <c r="I327" i="20"/>
  <c r="K327" i="20" s="1"/>
  <c r="I312" i="20"/>
  <c r="K312" i="20" s="1"/>
  <c r="I329" i="20"/>
  <c r="K329" i="20" s="1"/>
  <c r="H319" i="20"/>
  <c r="J329" i="20"/>
  <c r="I328" i="20"/>
  <c r="K328" i="20" s="1"/>
  <c r="H332" i="20"/>
  <c r="G326" i="20"/>
  <c r="I333" i="20"/>
  <c r="K333" i="20" s="1"/>
  <c r="G320" i="20"/>
  <c r="J327" i="20"/>
  <c r="G329" i="20"/>
  <c r="J328" i="20"/>
  <c r="I332" i="20"/>
  <c r="K332" i="20" s="1"/>
  <c r="G314" i="20"/>
  <c r="G331" i="20"/>
  <c r="G328" i="20"/>
  <c r="H327" i="20"/>
  <c r="H329" i="20"/>
  <c r="H326" i="20"/>
  <c r="J332" i="20"/>
  <c r="I315" i="20"/>
  <c r="K315" i="20" s="1"/>
  <c r="I331" i="20"/>
  <c r="K331" i="20" s="1"/>
  <c r="G332" i="20"/>
  <c r="J326" i="20"/>
  <c r="I319" i="20"/>
  <c r="K319" i="20" s="1"/>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K325" i="20" s="1"/>
  <c r="H314" i="20"/>
  <c r="J333" i="20"/>
  <c r="J324" i="20"/>
  <c r="J314" i="20"/>
  <c r="H333" i="20"/>
  <c r="H322" i="20"/>
  <c r="H318" i="20"/>
  <c r="I322" i="20"/>
  <c r="K322" i="20" s="1"/>
  <c r="J322" i="20"/>
  <c r="G315" i="20"/>
  <c r="J318" i="20"/>
  <c r="I326" i="20"/>
  <c r="K326" i="20" s="1"/>
  <c r="H330" i="20"/>
  <c r="J315" i="20"/>
  <c r="G312" i="20"/>
  <c r="I330" i="20"/>
  <c r="K330" i="20" s="1"/>
  <c r="H315" i="20"/>
  <c r="G313" i="20"/>
  <c r="G330" i="20"/>
  <c r="I320" i="20"/>
  <c r="K320" i="20" s="1"/>
  <c r="G311" i="20"/>
  <c r="I311" i="20"/>
  <c r="K311" i="20" s="1"/>
  <c r="H312" i="20"/>
  <c r="G321" i="20"/>
  <c r="J330" i="20"/>
  <c r="J311" i="20"/>
  <c r="J312" i="20"/>
  <c r="J321" i="20"/>
  <c r="H323" i="20"/>
  <c r="I135" i="20"/>
  <c r="K135" i="20" s="1"/>
  <c r="I120" i="20"/>
  <c r="K120" i="20" s="1"/>
  <c r="I200" i="20"/>
  <c r="K200" i="20" s="1"/>
  <c r="G224" i="20"/>
  <c r="I194" i="20"/>
  <c r="K194" i="20" s="1"/>
  <c r="I38" i="20"/>
  <c r="K38" i="20" s="1"/>
  <c r="G124" i="20"/>
  <c r="I181" i="20"/>
  <c r="K181" i="20" s="1"/>
  <c r="I184" i="20"/>
  <c r="K184" i="20" s="1"/>
  <c r="G25" i="20"/>
  <c r="I114" i="20"/>
  <c r="K114" i="20" s="1"/>
  <c r="G51" i="20"/>
  <c r="I171" i="20"/>
  <c r="K171" i="20" s="1"/>
  <c r="I60" i="20"/>
  <c r="K60" i="20" s="1"/>
  <c r="G172" i="20"/>
  <c r="G71" i="20"/>
  <c r="I119" i="20"/>
  <c r="K119" i="20" s="1"/>
  <c r="G15" i="20"/>
  <c r="I137" i="20"/>
  <c r="K137" i="20" s="1"/>
  <c r="I58" i="20"/>
  <c r="K58" i="20" s="1"/>
  <c r="I182" i="20"/>
  <c r="K182" i="20" s="1"/>
  <c r="I215" i="20"/>
  <c r="K215" i="20" s="1"/>
  <c r="G53" i="20"/>
  <c r="G176" i="20"/>
  <c r="I193" i="20"/>
  <c r="K193" i="20" s="1"/>
  <c r="G90" i="20"/>
  <c r="I202" i="20"/>
  <c r="K202" i="20" s="1"/>
  <c r="I203" i="20"/>
  <c r="K203" i="20" s="1"/>
  <c r="G29" i="20"/>
  <c r="G96" i="20"/>
  <c r="I152" i="20"/>
  <c r="K152" i="20" s="1"/>
  <c r="G57" i="20"/>
  <c r="I198" i="20"/>
  <c r="K198" i="20" s="1"/>
  <c r="I216" i="20"/>
  <c r="K216" i="20" s="1"/>
  <c r="G21" i="20"/>
  <c r="I62" i="20"/>
  <c r="K62" i="20" s="1"/>
  <c r="I209" i="20"/>
  <c r="K209" i="20" s="1"/>
  <c r="G186" i="20"/>
  <c r="I64" i="20"/>
  <c r="K64" i="20" s="1"/>
  <c r="G55" i="20"/>
  <c r="I190" i="20"/>
  <c r="K190" i="20" s="1"/>
  <c r="I96" i="20"/>
  <c r="K96" i="20" s="1"/>
  <c r="I192" i="20"/>
  <c r="K192" i="20" s="1"/>
  <c r="I208" i="20"/>
  <c r="K208" i="20" s="1"/>
  <c r="I224" i="20"/>
  <c r="K224" i="20" s="1"/>
  <c r="I122" i="20"/>
  <c r="K122" i="20" s="1"/>
  <c r="I154" i="20"/>
  <c r="K154" i="20" s="1"/>
  <c r="I186" i="20"/>
  <c r="K186" i="20" s="1"/>
  <c r="I218" i="20"/>
  <c r="K218" i="20" s="1"/>
  <c r="G61" i="20"/>
  <c r="I118" i="20"/>
  <c r="K118" i="20" s="1"/>
  <c r="I206" i="20"/>
  <c r="K206" i="20" s="1"/>
  <c r="G27" i="20"/>
  <c r="G59" i="20"/>
  <c r="I124" i="20"/>
  <c r="K124" i="20" s="1"/>
  <c r="I212" i="20"/>
  <c r="K212" i="20" s="1"/>
  <c r="I132" i="20"/>
  <c r="K132" i="20" s="1"/>
  <c r="I204" i="20"/>
  <c r="K204" i="20" s="1"/>
  <c r="I125" i="20"/>
  <c r="K125" i="20" s="1"/>
  <c r="I22" i="20"/>
  <c r="K22" i="20" s="1"/>
  <c r="I197" i="20"/>
  <c r="K197" i="20" s="1"/>
  <c r="I187" i="20"/>
  <c r="K187" i="20" s="1"/>
  <c r="I219" i="20"/>
  <c r="K219" i="20" s="1"/>
  <c r="G22" i="20"/>
  <c r="I55" i="20"/>
  <c r="K55" i="20" s="1"/>
  <c r="G119" i="20"/>
  <c r="G135" i="20"/>
  <c r="G151" i="20"/>
  <c r="G199" i="20"/>
  <c r="G215" i="20"/>
  <c r="G12" i="20"/>
  <c r="G181" i="20"/>
  <c r="I15" i="20"/>
  <c r="K15" i="20" s="1"/>
  <c r="G64" i="20"/>
  <c r="I25" i="20"/>
  <c r="K25" i="20" s="1"/>
  <c r="I57" i="20"/>
  <c r="K57" i="20" s="1"/>
  <c r="G97" i="20"/>
  <c r="G137" i="20"/>
  <c r="G217" i="20"/>
  <c r="G58" i="20"/>
  <c r="I13" i="20"/>
  <c r="K13" i="20" s="1"/>
  <c r="I59" i="20"/>
  <c r="K59" i="20" s="1"/>
  <c r="G123" i="20"/>
  <c r="G155" i="20"/>
  <c r="G187" i="20"/>
  <c r="G203" i="20"/>
  <c r="G219" i="20"/>
  <c r="G28" i="20"/>
  <c r="G221" i="20"/>
  <c r="G60" i="20"/>
  <c r="G165" i="20"/>
  <c r="G62" i="20"/>
  <c r="G31" i="20"/>
  <c r="G63" i="20"/>
  <c r="I153" i="20"/>
  <c r="K153" i="20" s="1"/>
  <c r="I205" i="20"/>
  <c r="K205" i="20" s="1"/>
  <c r="G152" i="20"/>
  <c r="G184" i="20"/>
  <c r="G216" i="20"/>
  <c r="I121" i="20"/>
  <c r="K121" i="20" s="1"/>
  <c r="I177" i="20"/>
  <c r="K177" i="20" s="1"/>
  <c r="I201" i="20"/>
  <c r="K201" i="20" s="1"/>
  <c r="G78" i="20"/>
  <c r="G182" i="20"/>
  <c r="G164" i="20"/>
  <c r="I189" i="20"/>
  <c r="K189" i="20" s="1"/>
  <c r="G94" i="20"/>
  <c r="G222" i="20"/>
  <c r="G220" i="20"/>
  <c r="I14" i="20"/>
  <c r="K14" i="20" s="1"/>
  <c r="I79" i="20"/>
  <c r="K79" i="20" s="1"/>
  <c r="I175" i="20"/>
  <c r="K175" i="20" s="1"/>
  <c r="I191" i="20"/>
  <c r="K191" i="20" s="1"/>
  <c r="I207" i="20"/>
  <c r="K207" i="20" s="1"/>
  <c r="I223" i="20"/>
  <c r="K223" i="20" s="1"/>
  <c r="I56" i="20"/>
  <c r="K56" i="20" s="1"/>
  <c r="I115" i="20"/>
  <c r="K115" i="20" s="1"/>
  <c r="I195" i="20"/>
  <c r="K195" i="20" s="1"/>
  <c r="I211" i="20"/>
  <c r="K211" i="20" s="1"/>
  <c r="I227" i="20"/>
  <c r="K227" i="20" s="1"/>
  <c r="I36" i="20"/>
  <c r="K36" i="20" s="1"/>
  <c r="I52" i="20"/>
  <c r="K52" i="20" s="1"/>
  <c r="I20" i="20"/>
  <c r="K20" i="20" s="1"/>
  <c r="I133" i="20"/>
  <c r="K133" i="20" s="1"/>
  <c r="I213" i="20"/>
  <c r="K213" i="20" s="1"/>
  <c r="I188" i="20"/>
  <c r="K188" i="20" s="1"/>
  <c r="I220" i="20"/>
  <c r="K220" i="20" s="1"/>
  <c r="I214" i="20"/>
  <c r="K214" i="20" s="1"/>
  <c r="G65" i="20"/>
  <c r="I178" i="20"/>
  <c r="K178" i="20" s="1"/>
  <c r="I210" i="20"/>
  <c r="K210" i="20" s="1"/>
  <c r="I226" i="20"/>
  <c r="K226" i="20" s="1"/>
  <c r="I78" i="20"/>
  <c r="K78" i="20" s="1"/>
  <c r="I134" i="20"/>
  <c r="K134" i="20" s="1"/>
  <c r="I196" i="20"/>
  <c r="K196" i="20" s="1"/>
  <c r="G14" i="20"/>
  <c r="I63" i="20"/>
  <c r="K63" i="20" s="1"/>
  <c r="G79" i="20"/>
  <c r="G127" i="20"/>
  <c r="G159" i="20"/>
  <c r="G175" i="20"/>
  <c r="G191" i="20"/>
  <c r="G207" i="20"/>
  <c r="G223" i="20"/>
  <c r="G89" i="20"/>
  <c r="G153" i="20"/>
  <c r="G225" i="20"/>
  <c r="I29" i="20"/>
  <c r="K29" i="20" s="1"/>
  <c r="G56" i="20"/>
  <c r="I65" i="20"/>
  <c r="K65" i="20" s="1"/>
  <c r="G177" i="20"/>
  <c r="G50" i="20"/>
  <c r="G173" i="20"/>
  <c r="I21" i="20"/>
  <c r="K21" i="20" s="1"/>
  <c r="I51" i="20"/>
  <c r="K51" i="20" s="1"/>
  <c r="G115" i="20"/>
  <c r="G179" i="20"/>
  <c r="G195" i="20"/>
  <c r="G211" i="20"/>
  <c r="G227" i="20"/>
  <c r="G20" i="20"/>
  <c r="G117" i="20"/>
  <c r="G30"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F237" i="20"/>
  <c r="F294" i="20"/>
  <c r="L294" i="20" s="1"/>
  <c r="F281" i="20"/>
  <c r="L281" i="20" s="1"/>
  <c r="F292" i="20"/>
  <c r="L292" i="20" s="1"/>
  <c r="F238" i="20"/>
  <c r="F284" i="20"/>
  <c r="L284" i="20" s="1"/>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F289" i="20"/>
  <c r="L289" i="20" s="1"/>
  <c r="F244" i="20"/>
  <c r="F268" i="20"/>
  <c r="L268" i="20" s="1"/>
  <c r="F288" i="20"/>
  <c r="L288" i="20" s="1"/>
  <c r="F286" i="20"/>
  <c r="L286" i="20" s="1"/>
  <c r="F260" i="20"/>
  <c r="L260" i="20" s="1"/>
  <c r="F279" i="20"/>
  <c r="L279" i="20" s="1"/>
  <c r="F264" i="20"/>
  <c r="L264" i="20" s="1"/>
  <c r="F247" i="20"/>
  <c r="F242" i="20"/>
  <c r="F239" i="20"/>
  <c r="F278" i="20"/>
  <c r="L278" i="20" s="1"/>
  <c r="F263" i="20"/>
  <c r="L263" i="20" s="1"/>
  <c r="F287" i="20"/>
  <c r="L287" i="20" s="1"/>
  <c r="F267" i="20"/>
  <c r="L267" i="20" s="1"/>
  <c r="F271" i="20"/>
  <c r="L271" i="20" s="1"/>
  <c r="F253" i="20"/>
  <c r="L253" i="20" s="1"/>
  <c r="F250" i="20"/>
  <c r="L250" i="20" s="1"/>
  <c r="F285" i="20"/>
  <c r="L285" i="20" s="1"/>
  <c r="F240" i="20"/>
  <c r="F293" i="20"/>
  <c r="L293" i="20" s="1"/>
  <c r="F246" i="20"/>
  <c r="L246" i="20" s="1"/>
  <c r="F241" i="20"/>
  <c r="F245" i="20"/>
  <c r="L245" i="20" s="1"/>
  <c r="F248" i="20"/>
  <c r="F295" i="20"/>
  <c r="F277" i="20"/>
  <c r="L277" i="20" s="1"/>
  <c r="F280" i="20"/>
  <c r="L280" i="20" s="1"/>
  <c r="F282" i="20"/>
  <c r="L282" i="20" s="1"/>
  <c r="F290" i="20"/>
  <c r="L290" i="20" s="1"/>
  <c r="F258" i="20"/>
  <c r="L258" i="20" s="1"/>
  <c r="F251" i="20"/>
  <c r="L251" i="20" s="1"/>
  <c r="F261" i="20"/>
  <c r="F256" i="20"/>
  <c r="L256" i="20" s="1"/>
  <c r="F254" i="20"/>
  <c r="L254" i="20" s="1"/>
  <c r="F269" i="20"/>
  <c r="L269" i="20" s="1"/>
  <c r="F272" i="20"/>
  <c r="L272" i="20" s="1"/>
  <c r="F265" i="20"/>
  <c r="L265" i="20" s="1"/>
  <c r="F283" i="20"/>
  <c r="L283" i="20" s="1"/>
  <c r="F275" i="20"/>
  <c r="L275" i="20" s="1"/>
  <c r="F291" i="20"/>
  <c r="L291" i="20" s="1"/>
  <c r="F297" i="20"/>
  <c r="F301" i="20"/>
  <c r="F302" i="20"/>
  <c r="L302" i="20" s="1"/>
  <c r="F296" i="20"/>
  <c r="F298" i="20"/>
  <c r="F300" i="20"/>
  <c r="F299" i="20"/>
  <c r="F16" i="20"/>
  <c r="F105" i="20"/>
  <c r="F110" i="20"/>
  <c r="F168" i="20"/>
  <c r="F90" i="20"/>
  <c r="F77" i="20"/>
  <c r="F160" i="20"/>
  <c r="F155" i="20"/>
  <c r="F136" i="20"/>
  <c r="L136" i="20" s="1"/>
  <c r="F149" i="20"/>
  <c r="L149" i="20" s="1"/>
  <c r="F236" i="20"/>
  <c r="F312" i="20"/>
  <c r="F324" i="20"/>
  <c r="F332" i="20"/>
  <c r="F318" i="20"/>
  <c r="F49" i="20"/>
  <c r="F40" i="20"/>
  <c r="F43" i="20"/>
  <c r="F146" i="20"/>
  <c r="L146" i="20" s="1"/>
  <c r="F139" i="20"/>
  <c r="L139" i="20" s="1"/>
  <c r="F235" i="20"/>
  <c r="F231" i="20"/>
  <c r="F323" i="20"/>
  <c r="F101" i="20"/>
  <c r="F107" i="20"/>
  <c r="F102" i="20"/>
  <c r="F108" i="20"/>
  <c r="F94" i="20"/>
  <c r="F85" i="20"/>
  <c r="F112" i="20"/>
  <c r="F113" i="20"/>
  <c r="F157" i="20"/>
  <c r="F234" i="20"/>
  <c r="F307" i="20"/>
  <c r="F311" i="20"/>
  <c r="F315" i="20"/>
  <c r="F309" i="20"/>
  <c r="F47" i="20"/>
  <c r="F76" i="20"/>
  <c r="F42" i="20"/>
  <c r="F227" i="20"/>
  <c r="F317" i="20"/>
  <c r="F166" i="20"/>
  <c r="F313" i="20"/>
  <c r="F44" i="20"/>
  <c r="F46" i="20"/>
  <c r="F330" i="20"/>
  <c r="F308" i="20"/>
  <c r="F98" i="20"/>
  <c r="F140" i="20"/>
  <c r="L140" i="20" s="1"/>
  <c r="F310" i="20"/>
  <c r="F165" i="20"/>
  <c r="F103" i="20"/>
  <c r="F100" i="20"/>
  <c r="F148" i="20"/>
  <c r="L148" i="20" s="1"/>
  <c r="F184" i="20"/>
  <c r="F233" i="20"/>
  <c r="F329" i="20"/>
  <c r="F327" i="20"/>
  <c r="F82" i="20"/>
  <c r="F66" i="20"/>
  <c r="F68" i="20"/>
  <c r="F142" i="20"/>
  <c r="L142" i="20" s="1"/>
  <c r="F80" i="20"/>
  <c r="F162" i="20"/>
  <c r="F173" i="20"/>
  <c r="F116" i="20"/>
  <c r="F138" i="20"/>
  <c r="L138" i="20" s="1"/>
  <c r="F167" i="20"/>
  <c r="F19" i="20"/>
  <c r="F143" i="20"/>
  <c r="L143" i="20" s="1"/>
  <c r="F319" i="20"/>
  <c r="F305" i="20"/>
  <c r="F331" i="20"/>
  <c r="F33" i="20"/>
  <c r="F32" i="20"/>
  <c r="F48" i="20"/>
  <c r="F74" i="20"/>
  <c r="F17" i="20"/>
  <c r="F88" i="20"/>
  <c r="F75" i="20"/>
  <c r="F229" i="20"/>
  <c r="F99" i="20"/>
  <c r="F86" i="20"/>
  <c r="F92" i="20"/>
  <c r="F84" i="20"/>
  <c r="F147" i="20"/>
  <c r="L147" i="20" s="1"/>
  <c r="F303" i="20"/>
  <c r="F321" i="20"/>
  <c r="F333" i="20"/>
  <c r="F306" i="20"/>
  <c r="F322" i="20"/>
  <c r="F37" i="20"/>
  <c r="F72" i="20"/>
  <c r="F18" i="20"/>
  <c r="F106" i="20"/>
  <c r="F23" i="20"/>
  <c r="F26" i="20"/>
  <c r="F169" i="20"/>
  <c r="F54" i="20"/>
  <c r="F83" i="20"/>
  <c r="F69" i="20"/>
  <c r="F141" i="20"/>
  <c r="L141" i="20" s="1"/>
  <c r="F67" i="20"/>
  <c r="F145" i="20"/>
  <c r="L145" i="20" s="1"/>
  <c r="F228" i="20"/>
  <c r="F320" i="20"/>
  <c r="F328" i="20"/>
  <c r="F326" i="20"/>
  <c r="F41" i="20"/>
  <c r="F35" i="20"/>
  <c r="F159" i="20"/>
  <c r="F304" i="20"/>
  <c r="F144" i="20"/>
  <c r="L144" i="20" s="1"/>
  <c r="F109" i="20"/>
  <c r="F161" i="20"/>
  <c r="F111" i="20"/>
  <c r="F104" i="20"/>
  <c r="F87" i="20"/>
  <c r="F81" i="20"/>
  <c r="F91" i="20"/>
  <c r="F73" i="20"/>
  <c r="F156" i="20"/>
  <c r="F182" i="20"/>
  <c r="F230" i="20"/>
  <c r="F232" i="20"/>
  <c r="F325" i="20"/>
  <c r="F314" i="20"/>
  <c r="F45" i="20"/>
  <c r="F39" i="20"/>
  <c r="F70" i="20"/>
  <c r="F316" i="20"/>
  <c r="F34" i="20"/>
  <c r="F130" i="20"/>
  <c r="F132" i="20"/>
  <c r="F131" i="20"/>
  <c r="F129" i="20"/>
  <c r="F127" i="20"/>
  <c r="F14" i="20"/>
  <c r="F174" i="20"/>
  <c r="F51" i="20"/>
  <c r="F93" i="20"/>
  <c r="F177" i="20"/>
  <c r="F59" i="20"/>
  <c r="F218" i="20"/>
  <c r="F55" i="20"/>
  <c r="F196" i="20"/>
  <c r="F199" i="20"/>
  <c r="F135" i="20"/>
  <c r="L135" i="20" s="1"/>
  <c r="F214" i="20"/>
  <c r="F202" i="20"/>
  <c r="F21" i="20"/>
  <c r="F28" i="20"/>
  <c r="F13" i="20"/>
  <c r="F12" i="20"/>
  <c r="F170" i="20"/>
  <c r="F175" i="20"/>
  <c r="F25" i="20"/>
  <c r="F126" i="20"/>
  <c r="F78" i="20"/>
  <c r="F71" i="20"/>
  <c r="F150" i="20"/>
  <c r="L150" i="20" s="1"/>
  <c r="F63" i="20"/>
  <c r="F201" i="20"/>
  <c r="F225" i="20"/>
  <c r="F200" i="20"/>
  <c r="F203" i="20"/>
  <c r="F22" i="20"/>
  <c r="F15" i="20"/>
  <c r="F31" i="20"/>
  <c r="F52" i="20"/>
  <c r="F89" i="20"/>
  <c r="F95" i="20"/>
  <c r="F121" i="20"/>
  <c r="F133" i="20"/>
  <c r="F153" i="20"/>
  <c r="F222" i="20"/>
  <c r="F58" i="20"/>
  <c r="F204" i="20"/>
  <c r="F61" i="20"/>
  <c r="F207" i="20"/>
  <c r="F137" i="20"/>
  <c r="L137" i="20" s="1"/>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316" i="20" l="1"/>
  <c r="N314" i="20"/>
  <c r="N35" i="20"/>
  <c r="N313" i="20"/>
  <c r="O170" i="20"/>
  <c r="P18" i="20"/>
  <c r="P17" i="20"/>
  <c r="P11" i="20"/>
  <c r="N329" i="20"/>
  <c r="N127" i="20"/>
  <c r="N317" i="20"/>
  <c r="N151" i="20"/>
  <c r="N173" i="20"/>
  <c r="N77" i="20"/>
  <c r="P7" i="20"/>
  <c r="P5" i="20"/>
  <c r="O165" i="20"/>
  <c r="P20" i="20"/>
  <c r="P19" i="20"/>
  <c r="N31" i="20"/>
  <c r="O298" i="20"/>
  <c r="N332" i="20"/>
  <c r="N163" i="20"/>
  <c r="O175" i="20"/>
  <c r="N232" i="20"/>
  <c r="N16" i="20"/>
  <c r="N46" i="20"/>
  <c r="N54" i="20"/>
  <c r="P9" i="20"/>
  <c r="O103" i="20"/>
  <c r="N47" i="20"/>
  <c r="N95" i="20"/>
  <c r="P22" i="20"/>
  <c r="N319" i="20"/>
  <c r="N325" i="20"/>
  <c r="N174" i="20"/>
  <c r="N169" i="20"/>
  <c r="N18" i="20"/>
  <c r="N217" i="20"/>
  <c r="N103" i="20"/>
  <c r="P21" i="20"/>
  <c r="N307" i="20"/>
  <c r="O167" i="20"/>
  <c r="P23" i="20"/>
  <c r="N85" i="20"/>
  <c r="O299" i="20"/>
  <c r="O249" i="20"/>
  <c r="L333" i="20"/>
  <c r="L65" i="20"/>
  <c r="L130" i="20"/>
  <c r="L151" i="20"/>
  <c r="N116" i="20"/>
  <c r="N117" i="20"/>
  <c r="O300" i="20"/>
  <c r="O296" i="20"/>
  <c r="N17" i="20"/>
  <c r="P4" i="20"/>
  <c r="O248" i="20"/>
  <c r="P248" i="20" s="1"/>
  <c r="O247" i="20"/>
  <c r="P247" i="20" s="1"/>
  <c r="P8" i="20"/>
  <c r="P6" i="20"/>
  <c r="P3" i="20"/>
  <c r="P10" i="20"/>
  <c r="N19" i="20"/>
  <c r="O106" i="20"/>
  <c r="O25" i="20"/>
  <c r="L321" i="20"/>
  <c r="N24" i="20"/>
  <c r="N306" i="20"/>
  <c r="N139" i="20"/>
  <c r="N90" i="20"/>
  <c r="O168" i="20"/>
  <c r="N81" i="20"/>
  <c r="N144" i="20"/>
  <c r="N303" i="20"/>
  <c r="N305" i="20"/>
  <c r="N231" i="20"/>
  <c r="O14" i="20"/>
  <c r="N82" i="20"/>
  <c r="N161" i="20"/>
  <c r="N323" i="20"/>
  <c r="O51" i="20"/>
  <c r="N324" i="20"/>
  <c r="O107" i="20"/>
  <c r="N315" i="20"/>
  <c r="N157" i="20"/>
  <c r="N84" i="20"/>
  <c r="N50" i="20"/>
  <c r="N136" i="20"/>
  <c r="N125" i="20"/>
  <c r="N167" i="20"/>
  <c r="N146" i="20"/>
  <c r="O101" i="20"/>
  <c r="N51" i="20"/>
  <c r="N137" i="20"/>
  <c r="N160" i="20"/>
  <c r="N91" i="20"/>
  <c r="N235" i="20"/>
  <c r="N310" i="20"/>
  <c r="N57" i="20"/>
  <c r="N101" i="20"/>
  <c r="N222" i="20"/>
  <c r="L64" i="20"/>
  <c r="L226" i="20"/>
  <c r="L68" i="20"/>
  <c r="L48" i="20"/>
  <c r="N198" i="20"/>
  <c r="L158" i="20"/>
  <c r="L204" i="20"/>
  <c r="N177" i="20"/>
  <c r="L306" i="20"/>
  <c r="N96" i="20"/>
  <c r="L205" i="20"/>
  <c r="L129" i="20"/>
  <c r="N66" i="20"/>
  <c r="L83" i="20"/>
  <c r="N213" i="20"/>
  <c r="L43" i="20"/>
  <c r="N28" i="20"/>
  <c r="L132" i="20"/>
  <c r="L58" i="20"/>
  <c r="N114" i="20"/>
  <c r="N27" i="20"/>
  <c r="N185" i="20"/>
  <c r="N153" i="20"/>
  <c r="N147" i="20"/>
  <c r="L77" i="20"/>
  <c r="N112" i="20"/>
  <c r="N164" i="20"/>
  <c r="N61" i="20"/>
  <c r="L166" i="20"/>
  <c r="N224" i="20"/>
  <c r="N29" i="20"/>
  <c r="L115" i="20"/>
  <c r="L332" i="20"/>
  <c r="L319" i="20"/>
  <c r="L172" i="20"/>
  <c r="L99" i="20"/>
  <c r="L207" i="20"/>
  <c r="N207" i="20"/>
  <c r="N132" i="20"/>
  <c r="N58" i="20"/>
  <c r="L206" i="20"/>
  <c r="N83" i="20"/>
  <c r="L109" i="20"/>
  <c r="N63" i="20"/>
  <c r="L210" i="20"/>
  <c r="L69" i="20"/>
  <c r="L90" i="20"/>
  <c r="N129" i="20"/>
  <c r="L159" i="20"/>
  <c r="N60" i="20"/>
  <c r="N22" i="20"/>
  <c r="N20" i="20"/>
  <c r="O30" i="20"/>
  <c r="L315" i="20"/>
  <c r="L200" i="20"/>
  <c r="L218" i="20"/>
  <c r="N53" i="20"/>
  <c r="N333" i="20"/>
  <c r="L80" i="20"/>
  <c r="L314" i="20"/>
  <c r="O176" i="20"/>
  <c r="O171" i="20"/>
  <c r="N36" i="20"/>
  <c r="N189" i="20"/>
  <c r="N71" i="20"/>
  <c r="N12" i="20"/>
  <c r="T12" i="20" s="1"/>
  <c r="O52" i="20"/>
  <c r="O12" i="20"/>
  <c r="O302" i="20"/>
  <c r="O108" i="20"/>
  <c r="O301" i="20"/>
  <c r="O97" i="20"/>
  <c r="O15" i="20"/>
  <c r="O297" i="20"/>
  <c r="O295" i="20"/>
  <c r="N43" i="20"/>
  <c r="L173" i="20"/>
  <c r="L234" i="20"/>
  <c r="N100" i="20"/>
  <c r="N109" i="20"/>
  <c r="N124" i="20"/>
  <c r="L214" i="20"/>
  <c r="L74" i="20"/>
  <c r="N186" i="20"/>
  <c r="L219" i="20"/>
  <c r="L307" i="20"/>
  <c r="N184" i="20"/>
  <c r="N142" i="20"/>
  <c r="N170" i="20"/>
  <c r="N220" i="20"/>
  <c r="L153" i="20"/>
  <c r="N166" i="20"/>
  <c r="L216" i="20"/>
  <c r="L26" i="20"/>
  <c r="N122" i="20"/>
  <c r="N219" i="20"/>
  <c r="L162" i="20"/>
  <c r="N108" i="20"/>
  <c r="L201" i="20"/>
  <c r="N92" i="20"/>
  <c r="N69" i="20"/>
  <c r="N14" i="20"/>
  <c r="N74" i="20"/>
  <c r="L62" i="20"/>
  <c r="L323" i="20"/>
  <c r="O100" i="20"/>
  <c r="O53" i="20"/>
  <c r="N233" i="20"/>
  <c r="O98" i="20"/>
  <c r="N176" i="20"/>
  <c r="O109" i="20"/>
  <c r="N322" i="20"/>
  <c r="N143" i="20"/>
  <c r="L105" i="20"/>
  <c r="N311" i="20"/>
  <c r="O110" i="20"/>
  <c r="N141" i="20"/>
  <c r="O181" i="20"/>
  <c r="O157" i="20"/>
  <c r="O149" i="20"/>
  <c r="P149" i="20" s="1"/>
  <c r="O141" i="20"/>
  <c r="P141" i="20" s="1"/>
  <c r="O133" i="20"/>
  <c r="O125" i="20"/>
  <c r="O117" i="20"/>
  <c r="O93" i="20"/>
  <c r="O85" i="20"/>
  <c r="O77" i="20"/>
  <c r="O69" i="20"/>
  <c r="O186" i="20"/>
  <c r="O178" i="20"/>
  <c r="O154" i="20"/>
  <c r="O146" i="20"/>
  <c r="P146" i="20" s="1"/>
  <c r="O138" i="20"/>
  <c r="P138" i="20" s="1"/>
  <c r="O130" i="20"/>
  <c r="O122" i="20"/>
  <c r="O114" i="20"/>
  <c r="O90" i="20"/>
  <c r="O82" i="20"/>
  <c r="O74" i="20"/>
  <c r="O66" i="20"/>
  <c r="O185" i="20"/>
  <c r="O177" i="20"/>
  <c r="O161" i="20"/>
  <c r="O153" i="20"/>
  <c r="O145" i="20"/>
  <c r="P145" i="20" s="1"/>
  <c r="O137" i="20"/>
  <c r="P137" i="20" s="1"/>
  <c r="O129" i="20"/>
  <c r="O121" i="20"/>
  <c r="O113" i="20"/>
  <c r="O89" i="20"/>
  <c r="O81" i="20"/>
  <c r="O73" i="20"/>
  <c r="O65" i="20"/>
  <c r="O184" i="20"/>
  <c r="O160" i="20"/>
  <c r="P160" i="20" s="1"/>
  <c r="O152" i="20"/>
  <c r="O144" i="20"/>
  <c r="P144" i="20" s="1"/>
  <c r="O136" i="20"/>
  <c r="P136" i="20" s="1"/>
  <c r="O128" i="20"/>
  <c r="O120" i="20"/>
  <c r="O112" i="20"/>
  <c r="O88" i="20"/>
  <c r="O80" i="20"/>
  <c r="O72" i="20"/>
  <c r="O64" i="20"/>
  <c r="O79" i="20"/>
  <c r="O94" i="20"/>
  <c r="O151" i="20"/>
  <c r="O134" i="20"/>
  <c r="O116" i="20"/>
  <c r="O182" i="20"/>
  <c r="O147" i="20"/>
  <c r="P147" i="20" s="1"/>
  <c r="O127" i="20"/>
  <c r="O115" i="20"/>
  <c r="O95" i="20"/>
  <c r="O78" i="20"/>
  <c r="O75" i="20"/>
  <c r="O150" i="20"/>
  <c r="P150" i="20" s="1"/>
  <c r="O132" i="20"/>
  <c r="O183" i="20"/>
  <c r="O131" i="20"/>
  <c r="O76" i="20"/>
  <c r="O148" i="20"/>
  <c r="P148" i="20" s="1"/>
  <c r="O92" i="20"/>
  <c r="O158" i="20"/>
  <c r="O124" i="20"/>
  <c r="O180" i="20"/>
  <c r="O179" i="20"/>
  <c r="O118" i="20"/>
  <c r="O135" i="20"/>
  <c r="P135" i="20" s="1"/>
  <c r="O68" i="20"/>
  <c r="O156" i="20"/>
  <c r="O155" i="20"/>
  <c r="O143" i="20"/>
  <c r="P143" i="20" s="1"/>
  <c r="O84" i="20"/>
  <c r="O67" i="20"/>
  <c r="O126" i="20"/>
  <c r="O87" i="20"/>
  <c r="P87" i="20" s="1"/>
  <c r="O119" i="20"/>
  <c r="O142" i="20"/>
  <c r="P142" i="20" s="1"/>
  <c r="O159" i="20"/>
  <c r="O91" i="20"/>
  <c r="O123" i="20"/>
  <c r="O86" i="20"/>
  <c r="O83" i="20"/>
  <c r="O70" i="20"/>
  <c r="O140" i="20"/>
  <c r="P140" i="20" s="1"/>
  <c r="O139" i="20"/>
  <c r="P139" i="20" s="1"/>
  <c r="O71" i="20"/>
  <c r="L232" i="20"/>
  <c r="N181" i="20"/>
  <c r="L331" i="20"/>
  <c r="L126" i="20"/>
  <c r="L72" i="20"/>
  <c r="L155" i="20"/>
  <c r="L125" i="20"/>
  <c r="N133" i="20"/>
  <c r="L114" i="20"/>
  <c r="L170" i="20"/>
  <c r="L203" i="20"/>
  <c r="L309" i="20"/>
  <c r="N40" i="20"/>
  <c r="L183" i="20"/>
  <c r="L168" i="20"/>
  <c r="L76" i="20"/>
  <c r="N44" i="20"/>
  <c r="N205" i="20"/>
  <c r="N89" i="20"/>
  <c r="L188" i="20"/>
  <c r="L12" i="20"/>
  <c r="N23" i="20"/>
  <c r="L51" i="20"/>
  <c r="L296" i="20"/>
  <c r="O164" i="20"/>
  <c r="L329" i="20"/>
  <c r="L124" i="20"/>
  <c r="L181" i="20"/>
  <c r="N126" i="20"/>
  <c r="L197" i="20"/>
  <c r="L163" i="20"/>
  <c r="L86" i="20"/>
  <c r="L121" i="20"/>
  <c r="N113" i="20"/>
  <c r="L70" i="20"/>
  <c r="N78" i="20"/>
  <c r="L127" i="20"/>
  <c r="N206" i="20"/>
  <c r="N191" i="20"/>
  <c r="L53" i="20"/>
  <c r="N195" i="20"/>
  <c r="N156" i="20"/>
  <c r="N104" i="20"/>
  <c r="L45" i="20"/>
  <c r="L59" i="20"/>
  <c r="L118" i="20"/>
  <c r="L300" i="20"/>
  <c r="L297" i="20"/>
  <c r="N227" i="20"/>
  <c r="L40" i="20"/>
  <c r="O31" i="20"/>
  <c r="O13" i="20"/>
  <c r="P13" i="20" s="1"/>
  <c r="O166" i="20"/>
  <c r="L327" i="20"/>
  <c r="L325" i="20"/>
  <c r="L89" i="20"/>
  <c r="N107" i="20"/>
  <c r="N215" i="20"/>
  <c r="N102" i="20"/>
  <c r="N87" i="20"/>
  <c r="L79" i="20"/>
  <c r="N41" i="20"/>
  <c r="L180" i="20"/>
  <c r="L113" i="20"/>
  <c r="L54" i="20"/>
  <c r="N162" i="20"/>
  <c r="L75" i="20"/>
  <c r="L169" i="20"/>
  <c r="N204" i="20"/>
  <c r="L177" i="20"/>
  <c r="N134" i="20"/>
  <c r="L167" i="20"/>
  <c r="L229" i="20"/>
  <c r="N39" i="20"/>
  <c r="L15" i="20"/>
  <c r="L301" i="20"/>
  <c r="L298" i="20"/>
  <c r="O45" i="20"/>
  <c r="O37" i="20"/>
  <c r="O42" i="20"/>
  <c r="O34" i="20"/>
  <c r="P34" i="20" s="1"/>
  <c r="O49" i="20"/>
  <c r="O41" i="20"/>
  <c r="O33" i="20"/>
  <c r="P33" i="20" s="1"/>
  <c r="O48" i="20"/>
  <c r="O40" i="20"/>
  <c r="O32" i="20"/>
  <c r="P32" i="20" s="1"/>
  <c r="O46" i="20"/>
  <c r="O44" i="20"/>
  <c r="O39" i="20"/>
  <c r="O43" i="20"/>
  <c r="O38" i="20"/>
  <c r="O35" i="20"/>
  <c r="P35" i="20" s="1"/>
  <c r="O36" i="20"/>
  <c r="P36" i="20" s="1"/>
  <c r="O47" i="20"/>
  <c r="L185" i="20"/>
  <c r="L52" i="20"/>
  <c r="O28" i="20"/>
  <c r="O102" i="20"/>
  <c r="L171" i="20"/>
  <c r="L223" i="20"/>
  <c r="L212" i="20"/>
  <c r="N80" i="20"/>
  <c r="L84" i="20"/>
  <c r="L184" i="20"/>
  <c r="L41" i="20"/>
  <c r="N226" i="20"/>
  <c r="L63" i="20"/>
  <c r="N62" i="20"/>
  <c r="L182" i="20"/>
  <c r="N75" i="20"/>
  <c r="N183" i="20"/>
  <c r="L85" i="20"/>
  <c r="N42" i="20"/>
  <c r="N187" i="20"/>
  <c r="N37" i="20"/>
  <c r="N76" i="20"/>
  <c r="L81" i="20"/>
  <c r="N38" i="20"/>
  <c r="L103" i="20"/>
  <c r="N229" i="20"/>
  <c r="L88" i="20"/>
  <c r="L299" i="20"/>
  <c r="L191" i="20"/>
  <c r="L119" i="20"/>
  <c r="N131" i="20"/>
  <c r="L213" i="20"/>
  <c r="N93" i="20"/>
  <c r="L46" i="20"/>
  <c r="L67" i="20"/>
  <c r="L39" i="20"/>
  <c r="N223" i="20"/>
  <c r="L106" i="20"/>
  <c r="N218" i="20"/>
  <c r="L61" i="20"/>
  <c r="N158" i="20"/>
  <c r="L96" i="20"/>
  <c r="L161" i="20"/>
  <c r="N13" i="20"/>
  <c r="O111" i="20"/>
  <c r="N312" i="20"/>
  <c r="N318" i="20"/>
  <c r="L317" i="20"/>
  <c r="N328" i="20"/>
  <c r="L313" i="20"/>
  <c r="L316" i="20"/>
  <c r="N171" i="20"/>
  <c r="N159" i="20"/>
  <c r="L110" i="20"/>
  <c r="N200" i="20"/>
  <c r="N130" i="20"/>
  <c r="L165" i="20"/>
  <c r="L305" i="20"/>
  <c r="L91" i="20"/>
  <c r="N190" i="20"/>
  <c r="L222" i="20"/>
  <c r="L93" i="20"/>
  <c r="N25" i="20"/>
  <c r="L154" i="20"/>
  <c r="L117" i="20"/>
  <c r="N168" i="20"/>
  <c r="L44" i="20"/>
  <c r="N32" i="20"/>
  <c r="L208" i="20"/>
  <c r="N179" i="20"/>
  <c r="O174" i="20"/>
  <c r="L102" i="20"/>
  <c r="O333" i="20"/>
  <c r="O325" i="20"/>
  <c r="O317" i="20"/>
  <c r="O309" i="20"/>
  <c r="O330" i="20"/>
  <c r="O322" i="20"/>
  <c r="O314" i="20"/>
  <c r="O306" i="20"/>
  <c r="O329" i="20"/>
  <c r="O321" i="20"/>
  <c r="O313" i="20"/>
  <c r="O305" i="20"/>
  <c r="O328" i="20"/>
  <c r="O320" i="20"/>
  <c r="O312" i="20"/>
  <c r="O304" i="20"/>
  <c r="P304" i="20" s="1"/>
  <c r="O326" i="20"/>
  <c r="O318" i="20"/>
  <c r="P318" i="20" s="1"/>
  <c r="O310" i="20"/>
  <c r="O332" i="20"/>
  <c r="O331" i="20"/>
  <c r="O303" i="20"/>
  <c r="P303" i="20" s="1"/>
  <c r="O319" i="20"/>
  <c r="O327" i="20"/>
  <c r="O324" i="20"/>
  <c r="O323" i="20"/>
  <c r="O308" i="20"/>
  <c r="P308" i="20" s="1"/>
  <c r="O316" i="20"/>
  <c r="O311" i="20"/>
  <c r="O307" i="20"/>
  <c r="O315" i="20"/>
  <c r="N119" i="20"/>
  <c r="N55" i="20"/>
  <c r="L190" i="20"/>
  <c r="L194" i="20"/>
  <c r="N214" i="20"/>
  <c r="N148" i="20"/>
  <c r="L233" i="20"/>
  <c r="L230" i="20"/>
  <c r="L199" i="20"/>
  <c r="N209" i="20"/>
  <c r="L101" i="20"/>
  <c r="N70" i="20"/>
  <c r="N105" i="20"/>
  <c r="L108" i="20"/>
  <c r="N201" i="20"/>
  <c r="N106" i="20"/>
  <c r="N154" i="20"/>
  <c r="L156" i="20"/>
  <c r="L104" i="20"/>
  <c r="L179" i="20"/>
  <c r="N34" i="20"/>
  <c r="N188" i="20"/>
  <c r="L73" i="20"/>
  <c r="L295" i="20"/>
  <c r="N225" i="20"/>
  <c r="L217" i="20"/>
  <c r="N128" i="20"/>
  <c r="L120" i="20"/>
  <c r="O96" i="20"/>
  <c r="N330" i="20"/>
  <c r="N327" i="20"/>
  <c r="L94" i="20"/>
  <c r="N230" i="20"/>
  <c r="L189" i="20"/>
  <c r="L164" i="20"/>
  <c r="L112" i="20"/>
  <c r="L98" i="20"/>
  <c r="N52" i="20"/>
  <c r="L37" i="20"/>
  <c r="N210" i="20"/>
  <c r="L123" i="20"/>
  <c r="L29" i="20"/>
  <c r="N202" i="20"/>
  <c r="N123" i="20"/>
  <c r="N331" i="20"/>
  <c r="L133" i="20"/>
  <c r="N140" i="20"/>
  <c r="N228" i="20"/>
  <c r="O221" i="20"/>
  <c r="O226" i="20"/>
  <c r="O218" i="20"/>
  <c r="O225" i="20"/>
  <c r="P225" i="20" s="1"/>
  <c r="O217" i="20"/>
  <c r="O224" i="20"/>
  <c r="P224" i="20" s="1"/>
  <c r="O216" i="20"/>
  <c r="O223" i="20"/>
  <c r="O219" i="20"/>
  <c r="O220" i="20"/>
  <c r="O222" i="20"/>
  <c r="O227" i="20"/>
  <c r="P227" i="20" s="1"/>
  <c r="L324" i="20"/>
  <c r="L178" i="20"/>
  <c r="N182" i="20"/>
  <c r="N304" i="20"/>
  <c r="L330" i="20"/>
  <c r="L55" i="20"/>
  <c r="L202" i="20"/>
  <c r="L82" i="20"/>
  <c r="O293" i="20"/>
  <c r="O285" i="20"/>
  <c r="O277" i="20"/>
  <c r="O269" i="20"/>
  <c r="O261" i="20"/>
  <c r="P261" i="20" s="1"/>
  <c r="O253" i="20"/>
  <c r="O245" i="20"/>
  <c r="O290" i="20"/>
  <c r="O282" i="20"/>
  <c r="O274" i="20"/>
  <c r="O266" i="20"/>
  <c r="O258" i="20"/>
  <c r="O250" i="20"/>
  <c r="O242" i="20"/>
  <c r="P242" i="20" s="1"/>
  <c r="O289" i="20"/>
  <c r="O281" i="20"/>
  <c r="O273" i="20"/>
  <c r="O265" i="20"/>
  <c r="O257" i="20"/>
  <c r="O241" i="20"/>
  <c r="P241" i="20" s="1"/>
  <c r="O288" i="20"/>
  <c r="O280" i="20"/>
  <c r="O272" i="20"/>
  <c r="O264" i="20"/>
  <c r="O256" i="20"/>
  <c r="O240" i="20"/>
  <c r="P240" i="20" s="1"/>
  <c r="O294" i="20"/>
  <c r="O278" i="20"/>
  <c r="O268" i="20"/>
  <c r="O276" i="20"/>
  <c r="O254" i="20"/>
  <c r="O238" i="20"/>
  <c r="P238" i="20" s="1"/>
  <c r="O275" i="20"/>
  <c r="O252" i="20"/>
  <c r="O271" i="20"/>
  <c r="O251" i="20"/>
  <c r="O270" i="20"/>
  <c r="O284" i="20"/>
  <c r="O244" i="20"/>
  <c r="P244" i="20" s="1"/>
  <c r="O267" i="20"/>
  <c r="O262" i="20"/>
  <c r="O259" i="20"/>
  <c r="O291" i="20"/>
  <c r="O283" i="20"/>
  <c r="O263" i="20"/>
  <c r="O239" i="20"/>
  <c r="P239" i="20" s="1"/>
  <c r="O255" i="20"/>
  <c r="O279" i="20"/>
  <c r="O243" i="20"/>
  <c r="O260" i="20"/>
  <c r="P260" i="20" s="1"/>
  <c r="O292" i="20"/>
  <c r="O287" i="20"/>
  <c r="O286" i="20"/>
  <c r="O246" i="20"/>
  <c r="N118" i="20"/>
  <c r="L186" i="20"/>
  <c r="L66" i="20"/>
  <c r="N99" i="20"/>
  <c r="L50" i="20"/>
  <c r="L310" i="20"/>
  <c r="L107" i="20"/>
  <c r="L320" i="20"/>
  <c r="O99" i="20"/>
  <c r="L31" i="20"/>
  <c r="L27" i="20"/>
  <c r="O50" i="20"/>
  <c r="O26" i="20"/>
  <c r="O173" i="20"/>
  <c r="L116" i="20"/>
  <c r="L157" i="20"/>
  <c r="N172" i="20"/>
  <c r="N110" i="20"/>
  <c r="L192" i="20"/>
  <c r="L221" i="20"/>
  <c r="N49" i="20"/>
  <c r="N79" i="20"/>
  <c r="N86" i="20"/>
  <c r="N199" i="20"/>
  <c r="N180" i="20"/>
  <c r="L176" i="20"/>
  <c r="L30" i="20"/>
  <c r="N33" i="20"/>
  <c r="N68" i="20"/>
  <c r="N48" i="20"/>
  <c r="L92" i="20"/>
  <c r="L42" i="20"/>
  <c r="L187" i="20"/>
  <c r="L175" i="20"/>
  <c r="N67" i="20"/>
  <c r="L60" i="20"/>
  <c r="N308" i="20"/>
  <c r="N208" i="20"/>
  <c r="L231" i="20"/>
  <c r="N73" i="20"/>
  <c r="L14" i="20"/>
  <c r="N15" i="20"/>
  <c r="O27" i="20"/>
  <c r="N65" i="20"/>
  <c r="N94" i="20"/>
  <c r="L195" i="20"/>
  <c r="O213" i="20"/>
  <c r="O205" i="20"/>
  <c r="O197" i="20"/>
  <c r="O189" i="20"/>
  <c r="O210" i="20"/>
  <c r="O202" i="20"/>
  <c r="O194" i="20"/>
  <c r="O209" i="20"/>
  <c r="O201" i="20"/>
  <c r="O193" i="20"/>
  <c r="O208" i="20"/>
  <c r="O200" i="20"/>
  <c r="O192" i="20"/>
  <c r="O206" i="20"/>
  <c r="O188" i="20"/>
  <c r="O199" i="20"/>
  <c r="O187" i="20"/>
  <c r="O204" i="20"/>
  <c r="O203" i="20"/>
  <c r="O196" i="20"/>
  <c r="O191" i="20"/>
  <c r="O190" i="20"/>
  <c r="O195" i="20"/>
  <c r="O215" i="20"/>
  <c r="O214" i="20"/>
  <c r="O212" i="20"/>
  <c r="O211" i="20"/>
  <c r="O198" i="20"/>
  <c r="O207" i="20"/>
  <c r="N115" i="20"/>
  <c r="L193" i="20"/>
  <c r="N138" i="20"/>
  <c r="N64" i="20"/>
  <c r="N175" i="20"/>
  <c r="O104" i="20"/>
  <c r="O61" i="20"/>
  <c r="O58" i="20"/>
  <c r="O57" i="20"/>
  <c r="O56" i="20"/>
  <c r="O62" i="20"/>
  <c r="O60" i="20"/>
  <c r="O59" i="20"/>
  <c r="O55" i="20"/>
  <c r="O63" i="20"/>
  <c r="N321" i="20"/>
  <c r="L328" i="20"/>
  <c r="L174" i="20"/>
  <c r="L211" i="20"/>
  <c r="O29" i="20"/>
  <c r="N212" i="20"/>
  <c r="N165" i="20"/>
  <c r="L49" i="20"/>
  <c r="N121" i="20"/>
  <c r="L209" i="20"/>
  <c r="O172" i="20"/>
  <c r="O237" i="20"/>
  <c r="O229" i="20"/>
  <c r="O234" i="20"/>
  <c r="O233" i="20"/>
  <c r="O232" i="20"/>
  <c r="O235" i="20"/>
  <c r="P235" i="20" s="1"/>
  <c r="O236" i="20"/>
  <c r="P236" i="20" s="1"/>
  <c r="O228" i="20"/>
  <c r="O231" i="20"/>
  <c r="O230" i="20"/>
  <c r="O162" i="20"/>
  <c r="O105" i="20"/>
  <c r="L312" i="20"/>
  <c r="N326" i="20"/>
  <c r="N26" i="20"/>
  <c r="N197" i="20"/>
  <c r="L311" i="20"/>
  <c r="L57" i="20"/>
  <c r="N221" i="20"/>
  <c r="N196" i="20"/>
  <c r="N192" i="20"/>
  <c r="N234" i="20"/>
  <c r="L78" i="20"/>
  <c r="N135" i="20"/>
  <c r="N120" i="20"/>
  <c r="N149" i="20"/>
  <c r="N203" i="20"/>
  <c r="N309" i="20"/>
  <c r="L198" i="20"/>
  <c r="N97" i="20"/>
  <c r="L220" i="20"/>
  <c r="N193" i="20"/>
  <c r="L131" i="20"/>
  <c r="L47" i="20"/>
  <c r="N98" i="20"/>
  <c r="L134" i="20"/>
  <c r="N216" i="20"/>
  <c r="L228" i="20"/>
  <c r="N152" i="20"/>
  <c r="N236" i="20"/>
  <c r="L326" i="20"/>
  <c r="L95" i="20"/>
  <c r="L28" i="20"/>
  <c r="L122" i="20"/>
  <c r="L56" i="20"/>
  <c r="N155" i="20"/>
  <c r="N56" i="20"/>
  <c r="O54" i="20"/>
  <c r="O169" i="20"/>
  <c r="O163" i="20"/>
  <c r="O16" i="20"/>
  <c r="P16" i="20" s="1"/>
  <c r="L322" i="20"/>
  <c r="N320" i="20"/>
  <c r="N145" i="20"/>
  <c r="N194" i="20"/>
  <c r="L215" i="20"/>
  <c r="L237" i="20"/>
  <c r="L196" i="20"/>
  <c r="N72" i="20"/>
  <c r="L100" i="20"/>
  <c r="L128" i="20"/>
  <c r="N178" i="20"/>
  <c r="L71" i="20"/>
  <c r="L111" i="20"/>
  <c r="N211" i="20"/>
  <c r="N30" i="20"/>
  <c r="L25" i="20"/>
  <c r="L97" i="20"/>
  <c r="N45" i="20"/>
  <c r="L38" i="20"/>
  <c r="N111" i="20"/>
  <c r="L152" i="20"/>
  <c r="N88" i="20"/>
  <c r="N150" i="20"/>
  <c r="N59" i="20"/>
  <c r="N21" i="20"/>
  <c r="L249" i="20"/>
  <c r="T237" i="20"/>
  <c r="V237" i="20" s="1"/>
  <c r="C19" i="21"/>
  <c r="Q335" i="20"/>
  <c r="H26" i="21" s="1"/>
  <c r="H27" i="21" s="1"/>
  <c r="H28" i="21" s="1"/>
  <c r="H29" i="21" s="1"/>
  <c r="H30" i="21" s="1"/>
  <c r="H31" i="21" s="1"/>
  <c r="D38" i="22" l="1"/>
  <c r="P237" i="20"/>
  <c r="H32" i="21"/>
  <c r="S24" i="20"/>
  <c r="T24" i="20"/>
  <c r="V24" i="20" s="1"/>
  <c r="D20" i="14"/>
  <c r="B310" i="16"/>
  <c r="B309" i="16"/>
  <c r="B108" i="16"/>
  <c r="B107" i="16"/>
  <c r="B106" i="16"/>
  <c r="B105" i="16"/>
  <c r="B103" i="16"/>
  <c r="B102" i="16"/>
  <c r="B101" i="16"/>
  <c r="B100" i="16"/>
  <c r="B99" i="16"/>
  <c r="B98" i="16"/>
  <c r="B39" i="16"/>
  <c r="B38" i="16"/>
  <c r="B37" i="16"/>
  <c r="B36" i="16"/>
  <c r="B35" i="16"/>
  <c r="B34" i="16"/>
  <c r="B33" i="16"/>
  <c r="D32" i="16"/>
  <c r="C32" i="16"/>
  <c r="D23" i="16"/>
  <c r="C23" i="16"/>
  <c r="D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96" i="14" l="1"/>
  <c r="E95" i="14"/>
  <c r="D118" i="25" s="1"/>
  <c r="E94" i="14"/>
  <c r="D117" i="25" s="1"/>
  <c r="E90" i="14"/>
  <c r="D113" i="25" s="1"/>
  <c r="E93" i="14"/>
  <c r="D116" i="25" s="1"/>
  <c r="E92" i="14"/>
  <c r="D115" i="25" s="1"/>
  <c r="E91" i="14"/>
  <c r="D114" i="25" s="1"/>
  <c r="E97" i="14"/>
  <c r="D120" i="25" s="1"/>
  <c r="E19" i="14"/>
  <c r="E72" i="12"/>
  <c r="E64" i="12"/>
  <c r="E71" i="12"/>
  <c r="E63" i="12"/>
  <c r="E20" i="12"/>
  <c r="E70" i="12"/>
  <c r="E69" i="12"/>
  <c r="E68" i="12"/>
  <c r="E67" i="12"/>
  <c r="E74" i="12"/>
  <c r="E73" i="12"/>
  <c r="E65" i="12"/>
  <c r="E66" i="12"/>
  <c r="D119" i="25"/>
  <c r="H34" i="21"/>
  <c r="B25" i="14"/>
  <c r="D48" i="25"/>
  <c r="B26" i="14"/>
  <c r="D49" i="25"/>
  <c r="B27" i="14"/>
  <c r="D50" i="25"/>
  <c r="B28" i="14"/>
  <c r="D51" i="25"/>
  <c r="B30" i="14"/>
  <c r="D53" i="25"/>
  <c r="T290" i="20"/>
  <c r="V290" i="20" s="1"/>
  <c r="T291" i="20"/>
  <c r="V291" i="20" s="1"/>
  <c r="T292" i="20"/>
  <c r="V292" i="20" s="1"/>
  <c r="T293" i="20"/>
  <c r="V293" i="20" s="1"/>
  <c r="T294" i="20"/>
  <c r="V294" i="20" s="1"/>
  <c r="T295" i="20"/>
  <c r="B16" i="14"/>
  <c r="A107" i="14"/>
  <c r="A106" i="14"/>
  <c r="A105" i="14"/>
  <c r="A104" i="14"/>
  <c r="A103" i="14"/>
  <c r="A102" i="14"/>
  <c r="A101" i="14"/>
  <c r="T301" i="20"/>
  <c r="V301" i="20" s="1"/>
  <c r="T297" i="20"/>
  <c r="T289" i="20"/>
  <c r="V289" i="20" s="1"/>
  <c r="T287" i="20"/>
  <c r="V287" i="20" s="1"/>
  <c r="T283" i="20"/>
  <c r="V283" i="20" s="1"/>
  <c r="T279" i="20"/>
  <c r="V279" i="20" s="1"/>
  <c r="T277" i="20"/>
  <c r="V277" i="20" s="1"/>
  <c r="T275" i="20"/>
  <c r="V275" i="20" s="1"/>
  <c r="T273" i="20"/>
  <c r="T271" i="20"/>
  <c r="V271" i="20" s="1"/>
  <c r="T269" i="20"/>
  <c r="V269" i="20" s="1"/>
  <c r="T267" i="20"/>
  <c r="T265" i="20"/>
  <c r="V265" i="20" s="1"/>
  <c r="T263" i="20"/>
  <c r="V263" i="20" s="1"/>
  <c r="T261" i="20"/>
  <c r="V261" i="20" s="1"/>
  <c r="T259" i="20"/>
  <c r="V259" i="20" s="1"/>
  <c r="T258" i="20"/>
  <c r="V258" i="20" s="1"/>
  <c r="T256" i="20"/>
  <c r="T254" i="20"/>
  <c r="T250" i="20"/>
  <c r="T246" i="20"/>
  <c r="V246" i="20" s="1"/>
  <c r="T242" i="20"/>
  <c r="T238" i="20"/>
  <c r="B97" i="14"/>
  <c r="B96" i="14"/>
  <c r="B95" i="14"/>
  <c r="B94" i="14"/>
  <c r="B93" i="14"/>
  <c r="B92" i="14"/>
  <c r="B90" i="14"/>
  <c r="D111" i="25"/>
  <c r="B88" i="14"/>
  <c r="B87" i="14"/>
  <c r="B86" i="14"/>
  <c r="B85" i="14"/>
  <c r="B84" i="14"/>
  <c r="B83" i="14"/>
  <c r="B82" i="14"/>
  <c r="B81" i="14"/>
  <c r="B80" i="14"/>
  <c r="B79" i="14"/>
  <c r="B78" i="14"/>
  <c r="B77" i="14"/>
  <c r="B76" i="14"/>
  <c r="D98" i="25"/>
  <c r="B75" i="14"/>
  <c r="D97" i="25"/>
  <c r="B74" i="14"/>
  <c r="B72" i="14"/>
  <c r="D94" i="25"/>
  <c r="B71" i="14"/>
  <c r="D93" i="25"/>
  <c r="B70" i="14"/>
  <c r="D92" i="25"/>
  <c r="B69" i="14"/>
  <c r="D91" i="25"/>
  <c r="B68" i="14"/>
  <c r="D89" i="25"/>
  <c r="B66" i="14"/>
  <c r="D88" i="25"/>
  <c r="B65" i="14"/>
  <c r="D87" i="25"/>
  <c r="B64" i="14"/>
  <c r="D86" i="25"/>
  <c r="B63" i="14"/>
  <c r="D85" i="25"/>
  <c r="B62" i="14"/>
  <c r="B61" i="14"/>
  <c r="D83" i="25"/>
  <c r="B60" i="14"/>
  <c r="D82" i="25"/>
  <c r="B59" i="14"/>
  <c r="D81" i="25"/>
  <c r="B58" i="14"/>
  <c r="D80" i="25"/>
  <c r="B57" i="14"/>
  <c r="D79" i="25"/>
  <c r="B56" i="14"/>
  <c r="D78" i="25"/>
  <c r="B55" i="14"/>
  <c r="D77" i="25"/>
  <c r="B54" i="14"/>
  <c r="D74" i="25"/>
  <c r="B51" i="14"/>
  <c r="D73" i="25"/>
  <c r="B50" i="14"/>
  <c r="D72" i="25"/>
  <c r="B49" i="14"/>
  <c r="D71" i="25"/>
  <c r="B48" i="14"/>
  <c r="D70" i="25"/>
  <c r="B47" i="14"/>
  <c r="D69" i="25"/>
  <c r="B46" i="14"/>
  <c r="D68" i="25"/>
  <c r="B45" i="14"/>
  <c r="D66" i="25"/>
  <c r="B43" i="14"/>
  <c r="D65" i="25"/>
  <c r="B42" i="14"/>
  <c r="D63" i="25"/>
  <c r="B40" i="14"/>
  <c r="D62" i="25"/>
  <c r="B39" i="14"/>
  <c r="D60" i="25"/>
  <c r="B37" i="14"/>
  <c r="D59" i="25"/>
  <c r="B36" i="14"/>
  <c r="B35" i="14"/>
  <c r="D56" i="25"/>
  <c r="B33" i="14"/>
  <c r="D55" i="25"/>
  <c r="B32" i="14"/>
  <c r="D54" i="25"/>
  <c r="B31" i="14"/>
  <c r="D47" i="25"/>
  <c r="B24" i="14"/>
  <c r="B17" i="14"/>
  <c r="B15" i="14"/>
  <c r="B14" i="14"/>
  <c r="B13" i="14"/>
  <c r="A65" i="13"/>
  <c r="A64" i="13"/>
  <c r="A63" i="13"/>
  <c r="A62" i="13"/>
  <c r="A61" i="13"/>
  <c r="A60" i="13"/>
  <c r="A59" i="13"/>
  <c r="T330" i="20"/>
  <c r="T322" i="20"/>
  <c r="V322" i="20" s="1"/>
  <c r="B55" i="13"/>
  <c r="B345" i="22" s="1"/>
  <c r="B54" i="13"/>
  <c r="B344" i="22" s="1"/>
  <c r="B53" i="13"/>
  <c r="B343" i="22" s="1"/>
  <c r="B52" i="13"/>
  <c r="B342" i="22" s="1"/>
  <c r="B51" i="13"/>
  <c r="B341" i="22" s="1"/>
  <c r="B50" i="13"/>
  <c r="B340" i="22" s="1"/>
  <c r="B48" i="13"/>
  <c r="B338" i="22" s="1"/>
  <c r="B47" i="13"/>
  <c r="B337" i="22" s="1"/>
  <c r="B46" i="13"/>
  <c r="B336" i="22" s="1"/>
  <c r="B45" i="13"/>
  <c r="B335" i="22" s="1"/>
  <c r="B44" i="13"/>
  <c r="B334" i="22" s="1"/>
  <c r="B43" i="13"/>
  <c r="B333" i="22" s="1"/>
  <c r="B42" i="13"/>
  <c r="B332" i="22" s="1"/>
  <c r="B41" i="13"/>
  <c r="B331" i="22" s="1"/>
  <c r="B39" i="13"/>
  <c r="B329" i="22" s="1"/>
  <c r="B38" i="13"/>
  <c r="B328" i="22" s="1"/>
  <c r="B37" i="13"/>
  <c r="B327" i="22" s="1"/>
  <c r="B36" i="13"/>
  <c r="B326" i="22" s="1"/>
  <c r="B35" i="13"/>
  <c r="B325" i="22" s="1"/>
  <c r="B33" i="13"/>
  <c r="B323" i="22" s="1"/>
  <c r="B32" i="13"/>
  <c r="B322" i="22" s="1"/>
  <c r="B31" i="13"/>
  <c r="B321" i="22" s="1"/>
  <c r="B30" i="13"/>
  <c r="B320" i="22" s="1"/>
  <c r="B29" i="13"/>
  <c r="B319" i="22" s="1"/>
  <c r="B27" i="13"/>
  <c r="B317" i="22" s="1"/>
  <c r="B26" i="13"/>
  <c r="B316" i="22" s="1"/>
  <c r="B25" i="13"/>
  <c r="B315" i="22" s="1"/>
  <c r="B24" i="13"/>
  <c r="B314" i="22" s="1"/>
  <c r="B23" i="13"/>
  <c r="B313" i="22" s="1"/>
  <c r="B21" i="13"/>
  <c r="B311" i="22" s="1"/>
  <c r="B20" i="13"/>
  <c r="B310" i="22" s="1"/>
  <c r="D18" i="13"/>
  <c r="C18" i="13"/>
  <c r="B18" i="13"/>
  <c r="B16" i="13"/>
  <c r="B15" i="13"/>
  <c r="B14" i="13"/>
  <c r="B13" i="13"/>
  <c r="T61" i="20"/>
  <c r="T191" i="20"/>
  <c r="T211" i="20"/>
  <c r="T214" i="20"/>
  <c r="B24" i="12"/>
  <c r="B247" i="22" s="1"/>
  <c r="B25" i="12"/>
  <c r="B26" i="12"/>
  <c r="B249" i="22" s="1"/>
  <c r="B27" i="12"/>
  <c r="B250" i="22" s="1"/>
  <c r="B28" i="12"/>
  <c r="B251" i="22" s="1"/>
  <c r="B29" i="12"/>
  <c r="B252" i="22" s="1"/>
  <c r="B30" i="12"/>
  <c r="B253" i="22" s="1"/>
  <c r="B31" i="12"/>
  <c r="B254" i="22" s="1"/>
  <c r="D21" i="12"/>
  <c r="C21" i="12"/>
  <c r="B21" i="12"/>
  <c r="D20" i="12"/>
  <c r="B20" i="12"/>
  <c r="D19" i="12"/>
  <c r="C19" i="12"/>
  <c r="B19" i="12"/>
  <c r="D18" i="12"/>
  <c r="C18" i="12"/>
  <c r="B18" i="12"/>
  <c r="D18" i="9"/>
  <c r="C18" i="9"/>
  <c r="E51" i="9" s="1"/>
  <c r="B18" i="9"/>
  <c r="D18" i="10"/>
  <c r="C18" i="10"/>
  <c r="B18" i="10"/>
  <c r="D18" i="11"/>
  <c r="C18" i="11"/>
  <c r="B18" i="11"/>
  <c r="A94" i="12"/>
  <c r="A93" i="12"/>
  <c r="A92" i="12"/>
  <c r="A91" i="12"/>
  <c r="A90" i="12"/>
  <c r="A89" i="12"/>
  <c r="A88" i="12"/>
  <c r="B85" i="12"/>
  <c r="B308" i="22" s="1"/>
  <c r="B84" i="12"/>
  <c r="B307" i="22" s="1"/>
  <c r="B83" i="12"/>
  <c r="B306" i="22" s="1"/>
  <c r="B82" i="12"/>
  <c r="B305" i="22" s="1"/>
  <c r="B81" i="12"/>
  <c r="B304" i="22" s="1"/>
  <c r="B80" i="12"/>
  <c r="B303" i="22" s="1"/>
  <c r="B79" i="12"/>
  <c r="B302" i="22" s="1"/>
  <c r="B78" i="12"/>
  <c r="B301" i="22" s="1"/>
  <c r="B77" i="12"/>
  <c r="B300" i="22" s="1"/>
  <c r="B76" i="12"/>
  <c r="B299" i="22" s="1"/>
  <c r="B74" i="12"/>
  <c r="B297" i="22" s="1"/>
  <c r="B73" i="12"/>
  <c r="B296" i="22" s="1"/>
  <c r="B72" i="12"/>
  <c r="B295" i="22" s="1"/>
  <c r="B71" i="12"/>
  <c r="B294" i="22" s="1"/>
  <c r="B70" i="12"/>
  <c r="B293" i="22" s="1"/>
  <c r="B69" i="12"/>
  <c r="B292" i="22" s="1"/>
  <c r="B68" i="12"/>
  <c r="B291" i="22" s="1"/>
  <c r="B67" i="12"/>
  <c r="B290" i="22" s="1"/>
  <c r="B66" i="12"/>
  <c r="B289" i="22" s="1"/>
  <c r="B65" i="12"/>
  <c r="B288" i="22" s="1"/>
  <c r="B64" i="12"/>
  <c r="B287" i="22" s="1"/>
  <c r="B63" i="12"/>
  <c r="B286" i="22" s="1"/>
  <c r="B61" i="12"/>
  <c r="B284" i="22" s="1"/>
  <c r="B60" i="12"/>
  <c r="B283" i="22" s="1"/>
  <c r="B59" i="12"/>
  <c r="B282" i="22" s="1"/>
  <c r="B58" i="12"/>
  <c r="B281" i="22" s="1"/>
  <c r="B57" i="12"/>
  <c r="B280" i="22" s="1"/>
  <c r="B56" i="12"/>
  <c r="B279" i="22" s="1"/>
  <c r="B55" i="12"/>
  <c r="B278" i="22" s="1"/>
  <c r="B54" i="12"/>
  <c r="B277" i="22" s="1"/>
  <c r="B53" i="12"/>
  <c r="B276" i="22" s="1"/>
  <c r="B52" i="12"/>
  <c r="B275" i="22" s="1"/>
  <c r="B51" i="12"/>
  <c r="B274" i="22" s="1"/>
  <c r="B50" i="12"/>
  <c r="B273" i="22" s="1"/>
  <c r="B49" i="12"/>
  <c r="B272" i="22" s="1"/>
  <c r="B48" i="12"/>
  <c r="B271" i="22" s="1"/>
  <c r="B47" i="12"/>
  <c r="B270" i="22" s="1"/>
  <c r="B46" i="12"/>
  <c r="B269" i="22" s="1"/>
  <c r="B45" i="12"/>
  <c r="B268" i="22" s="1"/>
  <c r="B44" i="12"/>
  <c r="B267" i="22" s="1"/>
  <c r="B43" i="12"/>
  <c r="B266" i="22" s="1"/>
  <c r="B42" i="12"/>
  <c r="B265" i="22" s="1"/>
  <c r="B41" i="12"/>
  <c r="B264" i="22" s="1"/>
  <c r="B40" i="12"/>
  <c r="B263" i="22" s="1"/>
  <c r="B39" i="12"/>
  <c r="B262" i="22" s="1"/>
  <c r="B38" i="12"/>
  <c r="B261" i="22" s="1"/>
  <c r="B37" i="12"/>
  <c r="B260" i="22" s="1"/>
  <c r="B36" i="12"/>
  <c r="B259" i="22" s="1"/>
  <c r="B35" i="12"/>
  <c r="B258" i="22" s="1"/>
  <c r="B34" i="12"/>
  <c r="B257" i="22" s="1"/>
  <c r="B33" i="12"/>
  <c r="B256" i="22" s="1"/>
  <c r="B23" i="12"/>
  <c r="B246" i="22" s="1"/>
  <c r="B16" i="12"/>
  <c r="B15" i="12"/>
  <c r="B14" i="12"/>
  <c r="B13" i="12"/>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T183" i="20"/>
  <c r="T182" i="20"/>
  <c r="A78" i="10"/>
  <c r="A79" i="10"/>
  <c r="A80" i="10"/>
  <c r="A81" i="10"/>
  <c r="A82" i="10"/>
  <c r="A83" i="10"/>
  <c r="A84" i="10"/>
  <c r="T153" i="20"/>
  <c r="T77" i="20"/>
  <c r="T69" i="20"/>
  <c r="D190" i="25"/>
  <c r="D116" i="22"/>
  <c r="D117" i="22"/>
  <c r="D118" i="22"/>
  <c r="D119" i="22"/>
  <c r="D120" i="22"/>
  <c r="D121" i="22"/>
  <c r="D122" i="22"/>
  <c r="D123" i="22"/>
  <c r="D124" i="22"/>
  <c r="D125" i="22"/>
  <c r="D82" i="22"/>
  <c r="D83" i="22"/>
  <c r="D84" i="22"/>
  <c r="D85" i="22"/>
  <c r="D86" i="22"/>
  <c r="D87" i="22"/>
  <c r="D89" i="22"/>
  <c r="D90" i="22"/>
  <c r="D91" i="22"/>
  <c r="D92" i="22"/>
  <c r="D93" i="22"/>
  <c r="D95" i="22"/>
  <c r="D98" i="22"/>
  <c r="D99" i="22"/>
  <c r="D100" i="22"/>
  <c r="D101" i="22"/>
  <c r="D102" i="22"/>
  <c r="D103" i="22"/>
  <c r="D104" i="22"/>
  <c r="D105" i="22"/>
  <c r="D106" i="22"/>
  <c r="D107" i="22"/>
  <c r="D108" i="22"/>
  <c r="D109" i="22"/>
  <c r="D110" i="22"/>
  <c r="D112" i="22"/>
  <c r="D113" i="22"/>
  <c r="D114" i="22"/>
  <c r="D115" i="22"/>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T127" i="20"/>
  <c r="T121" i="20"/>
  <c r="T115" i="20"/>
  <c r="T95" i="20"/>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T166" i="20"/>
  <c r="A72" i="8"/>
  <c r="A73" i="8"/>
  <c r="A74" i="8"/>
  <c r="A75" i="8"/>
  <c r="A76" i="8"/>
  <c r="A77" i="8"/>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72" i="22"/>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136" i="25"/>
  <c r="B22" i="8"/>
  <c r="B81" i="22" s="1"/>
  <c r="D67" i="22"/>
  <c r="D68" i="22"/>
  <c r="D69" i="22"/>
  <c r="D70" i="22"/>
  <c r="D72" i="22"/>
  <c r="D73" i="22"/>
  <c r="D74" i="22"/>
  <c r="D75" i="22"/>
  <c r="D76" i="22"/>
  <c r="D77" i="22"/>
  <c r="D66" i="22"/>
  <c r="E26" i="12" l="1"/>
  <c r="E25" i="12"/>
  <c r="E81" i="12"/>
  <c r="D304" i="22" s="1"/>
  <c r="E80" i="12"/>
  <c r="E55" i="10"/>
  <c r="D206" i="22" s="1"/>
  <c r="E32" i="10"/>
  <c r="E59" i="10"/>
  <c r="D210" i="22" s="1"/>
  <c r="E35" i="13"/>
  <c r="D325" i="22" s="1"/>
  <c r="E32" i="13"/>
  <c r="D322" i="22" s="1"/>
  <c r="E24" i="13"/>
  <c r="D314" i="22" s="1"/>
  <c r="E30" i="12"/>
  <c r="D253" i="22" s="1"/>
  <c r="E29" i="12"/>
  <c r="D252" i="22" s="1"/>
  <c r="E28" i="12"/>
  <c r="D251" i="22" s="1"/>
  <c r="E27" i="12"/>
  <c r="D250" i="22" s="1"/>
  <c r="E18" i="12"/>
  <c r="E24" i="12"/>
  <c r="D247" i="22" s="1"/>
  <c r="E31" i="12"/>
  <c r="E23" i="12"/>
  <c r="E21" i="12"/>
  <c r="E79" i="12"/>
  <c r="D302" i="22" s="1"/>
  <c r="E78" i="12"/>
  <c r="D301" i="22" s="1"/>
  <c r="E83" i="12"/>
  <c r="D306" i="22" s="1"/>
  <c r="E85" i="12"/>
  <c r="D308" i="22" s="1"/>
  <c r="E77" i="12"/>
  <c r="D300" i="22" s="1"/>
  <c r="E84" i="12"/>
  <c r="D307" i="22" s="1"/>
  <c r="E76" i="12"/>
  <c r="D299" i="22" s="1"/>
  <c r="E82" i="12"/>
  <c r="D305" i="22" s="1"/>
  <c r="E73" i="10"/>
  <c r="D224" i="22" s="1"/>
  <c r="E64" i="10"/>
  <c r="D215" i="22" s="1"/>
  <c r="E28" i="10"/>
  <c r="D179" i="22" s="1"/>
  <c r="E20" i="10"/>
  <c r="D171" i="22" s="1"/>
  <c r="E57" i="10"/>
  <c r="D208" i="22" s="1"/>
  <c r="E22" i="10"/>
  <c r="E72" i="10"/>
  <c r="E62" i="10"/>
  <c r="D213" i="22" s="1"/>
  <c r="E54" i="10"/>
  <c r="D205" i="22" s="1"/>
  <c r="E27" i="10"/>
  <c r="D178" i="22" s="1"/>
  <c r="E18" i="10"/>
  <c r="E66" i="10"/>
  <c r="D217" i="22" s="1"/>
  <c r="E71" i="10"/>
  <c r="D222" i="22" s="1"/>
  <c r="E61" i="10"/>
  <c r="D212" i="22" s="1"/>
  <c r="E53" i="10"/>
  <c r="D204" i="22" s="1"/>
  <c r="E26" i="10"/>
  <c r="D177" i="22" s="1"/>
  <c r="E70" i="10"/>
  <c r="D221" i="22" s="1"/>
  <c r="E60" i="10"/>
  <c r="D211" i="22" s="1"/>
  <c r="E52" i="10"/>
  <c r="D203" i="22" s="1"/>
  <c r="E33" i="10"/>
  <c r="D184" i="22" s="1"/>
  <c r="E25" i="10"/>
  <c r="D176" i="22" s="1"/>
  <c r="E69" i="10"/>
  <c r="E24" i="10"/>
  <c r="E67" i="10"/>
  <c r="D218" i="22" s="1"/>
  <c r="E58" i="10"/>
  <c r="D209" i="22" s="1"/>
  <c r="E31" i="10"/>
  <c r="D182" i="22" s="1"/>
  <c r="E23" i="10"/>
  <c r="D174" i="22" s="1"/>
  <c r="E74" i="10"/>
  <c r="D225" i="22" s="1"/>
  <c r="E65" i="10"/>
  <c r="D216" i="22" s="1"/>
  <c r="E56" i="10"/>
  <c r="D207" i="22" s="1"/>
  <c r="E29" i="10"/>
  <c r="D180" i="22" s="1"/>
  <c r="E21" i="10"/>
  <c r="D172" i="22" s="1"/>
  <c r="E30" i="10"/>
  <c r="D181" i="22" s="1"/>
  <c r="E55" i="12"/>
  <c r="D278" i="22" s="1"/>
  <c r="E47" i="12"/>
  <c r="D270" i="22" s="1"/>
  <c r="E39" i="12"/>
  <c r="D262" i="22" s="1"/>
  <c r="E54" i="12"/>
  <c r="D277" i="22" s="1"/>
  <c r="E46" i="12"/>
  <c r="E38" i="12"/>
  <c r="E61" i="12"/>
  <c r="E53" i="12"/>
  <c r="D276" i="22" s="1"/>
  <c r="E45" i="12"/>
  <c r="D268" i="22" s="1"/>
  <c r="E37" i="12"/>
  <c r="D260" i="22" s="1"/>
  <c r="E19" i="12"/>
  <c r="E60" i="12"/>
  <c r="D283" i="22" s="1"/>
  <c r="E52" i="12"/>
  <c r="D275" i="22" s="1"/>
  <c r="E44" i="12"/>
  <c r="D267" i="22" s="1"/>
  <c r="E36" i="12"/>
  <c r="D259" i="22" s="1"/>
  <c r="E59" i="12"/>
  <c r="D282" i="22" s="1"/>
  <c r="E51" i="12"/>
  <c r="D274" i="22" s="1"/>
  <c r="E43" i="12"/>
  <c r="D266" i="22" s="1"/>
  <c r="E35" i="12"/>
  <c r="D258" i="22" s="1"/>
  <c r="E58" i="12"/>
  <c r="D281" i="22" s="1"/>
  <c r="E50" i="12"/>
  <c r="E42" i="12"/>
  <c r="E34" i="12"/>
  <c r="D257" i="22" s="1"/>
  <c r="E57" i="12"/>
  <c r="D280" i="22" s="1"/>
  <c r="E49" i="12"/>
  <c r="D272" i="22" s="1"/>
  <c r="E41" i="12"/>
  <c r="D264" i="22" s="1"/>
  <c r="E56" i="12"/>
  <c r="D279" i="22" s="1"/>
  <c r="E48" i="12"/>
  <c r="D271" i="22" s="1"/>
  <c r="E40" i="12"/>
  <c r="D263" i="22" s="1"/>
  <c r="E33" i="12"/>
  <c r="D256" i="22" s="1"/>
  <c r="E51" i="13"/>
  <c r="D341" i="22" s="1"/>
  <c r="E42" i="13"/>
  <c r="D332" i="22" s="1"/>
  <c r="E23" i="13"/>
  <c r="D313" i="22" s="1"/>
  <c r="E50" i="13"/>
  <c r="D340" i="22" s="1"/>
  <c r="E41" i="13"/>
  <c r="D331" i="22" s="1"/>
  <c r="E31" i="13"/>
  <c r="D321" i="22" s="1"/>
  <c r="E21" i="13"/>
  <c r="E25" i="13"/>
  <c r="E48" i="13"/>
  <c r="D338" i="22" s="1"/>
  <c r="E39" i="13"/>
  <c r="D329" i="22" s="1"/>
  <c r="E30" i="13"/>
  <c r="D320" i="22" s="1"/>
  <c r="E20" i="13"/>
  <c r="D310" i="22" s="1"/>
  <c r="E47" i="13"/>
  <c r="D337" i="22" s="1"/>
  <c r="E38" i="13"/>
  <c r="D328" i="22" s="1"/>
  <c r="E29" i="13"/>
  <c r="D319" i="22" s="1"/>
  <c r="E18" i="13"/>
  <c r="E55" i="13"/>
  <c r="D345" i="22" s="1"/>
  <c r="E46" i="13"/>
  <c r="D336" i="22" s="1"/>
  <c r="E37" i="13"/>
  <c r="D327" i="22" s="1"/>
  <c r="E27" i="13"/>
  <c r="D317" i="22" s="1"/>
  <c r="E44" i="13"/>
  <c r="D334" i="22" s="1"/>
  <c r="E54" i="13"/>
  <c r="D344" i="22" s="1"/>
  <c r="E45" i="13"/>
  <c r="E36" i="13"/>
  <c r="D326" i="22" s="1"/>
  <c r="E26" i="13"/>
  <c r="D316" i="22" s="1"/>
  <c r="E53" i="13"/>
  <c r="D343" i="22" s="1"/>
  <c r="E52" i="13"/>
  <c r="D342" i="22" s="1"/>
  <c r="E43" i="13"/>
  <c r="D333" i="22" s="1"/>
  <c r="E33" i="13"/>
  <c r="D323" i="22" s="1"/>
  <c r="E55" i="9"/>
  <c r="D163" i="22" s="1"/>
  <c r="E47" i="9"/>
  <c r="D155" i="22" s="1"/>
  <c r="E39" i="9"/>
  <c r="D147" i="22" s="1"/>
  <c r="E30" i="9"/>
  <c r="D138" i="22" s="1"/>
  <c r="E22" i="9"/>
  <c r="D130" i="22" s="1"/>
  <c r="E57" i="9"/>
  <c r="D165" i="22" s="1"/>
  <c r="E54" i="9"/>
  <c r="D162" i="22" s="1"/>
  <c r="E46" i="9"/>
  <c r="D154" i="22" s="1"/>
  <c r="E37" i="9"/>
  <c r="D145" i="22" s="1"/>
  <c r="E29" i="9"/>
  <c r="D137" i="22" s="1"/>
  <c r="E21" i="9"/>
  <c r="D129" i="22" s="1"/>
  <c r="E61" i="9"/>
  <c r="D169" i="22" s="1"/>
  <c r="E53" i="9"/>
  <c r="D161" i="22" s="1"/>
  <c r="E45" i="9"/>
  <c r="D153" i="22" s="1"/>
  <c r="E36" i="9"/>
  <c r="D144" i="22" s="1"/>
  <c r="D169" i="25" s="1"/>
  <c r="E28" i="9"/>
  <c r="D136" i="22" s="1"/>
  <c r="E20" i="9"/>
  <c r="D128" i="22" s="1"/>
  <c r="E60" i="9"/>
  <c r="D168" i="22" s="1"/>
  <c r="E52" i="9"/>
  <c r="D160" i="22" s="1"/>
  <c r="E44" i="9"/>
  <c r="D152" i="22" s="1"/>
  <c r="E35" i="9"/>
  <c r="D143" i="22" s="1"/>
  <c r="E27" i="9"/>
  <c r="D135" i="22" s="1"/>
  <c r="E18" i="9"/>
  <c r="E32" i="9"/>
  <c r="D140" i="22" s="1"/>
  <c r="E59" i="9"/>
  <c r="D167" i="22" s="1"/>
  <c r="D159" i="22"/>
  <c r="E43" i="9"/>
  <c r="D151" i="22" s="1"/>
  <c r="E34" i="9"/>
  <c r="D142" i="22" s="1"/>
  <c r="E26" i="9"/>
  <c r="D134" i="22" s="1"/>
  <c r="E49" i="9"/>
  <c r="D157" i="22" s="1"/>
  <c r="E24" i="9"/>
  <c r="D132" i="22" s="1"/>
  <c r="E58" i="9"/>
  <c r="D166" i="22" s="1"/>
  <c r="E50" i="9"/>
  <c r="D158" i="22" s="1"/>
  <c r="E42" i="9"/>
  <c r="D150" i="22" s="1"/>
  <c r="E33" i="9"/>
  <c r="D141" i="22" s="1"/>
  <c r="E25" i="9"/>
  <c r="D133" i="22" s="1"/>
  <c r="E41" i="9"/>
  <c r="D149" i="22" s="1"/>
  <c r="E56" i="9"/>
  <c r="D164" i="22" s="1"/>
  <c r="E48" i="9"/>
  <c r="D156" i="22" s="1"/>
  <c r="E40" i="9"/>
  <c r="D148" i="22" s="1"/>
  <c r="E31" i="9"/>
  <c r="D139" i="22" s="1"/>
  <c r="E23" i="9"/>
  <c r="D131" i="22" s="1"/>
  <c r="E33" i="11"/>
  <c r="E25" i="11"/>
  <c r="D232" i="22" s="1"/>
  <c r="E32" i="11"/>
  <c r="D239" i="22" s="1"/>
  <c r="E24" i="11"/>
  <c r="D231" i="22" s="1"/>
  <c r="E31" i="11"/>
  <c r="D238" i="22" s="1"/>
  <c r="E23" i="11"/>
  <c r="D230" i="22" s="1"/>
  <c r="E30" i="11"/>
  <c r="D237" i="22" s="1"/>
  <c r="E22" i="11"/>
  <c r="D229" i="22" s="1"/>
  <c r="E37" i="11"/>
  <c r="D244" i="22" s="1"/>
  <c r="E29" i="11"/>
  <c r="D236" i="22" s="1"/>
  <c r="E21" i="11"/>
  <c r="D228" i="22" s="1"/>
  <c r="E35" i="11"/>
  <c r="D242" i="22" s="1"/>
  <c r="E36" i="11"/>
  <c r="D243" i="22" s="1"/>
  <c r="E28" i="11"/>
  <c r="D235" i="22" s="1"/>
  <c r="E20" i="11"/>
  <c r="D227" i="22" s="1"/>
  <c r="E27" i="11"/>
  <c r="D234" i="22" s="1"/>
  <c r="E34" i="11"/>
  <c r="E26" i="11"/>
  <c r="D233" i="22" s="1"/>
  <c r="E18" i="11"/>
  <c r="D303" i="22"/>
  <c r="D183" i="22"/>
  <c r="D149" i="25"/>
  <c r="E92" i="22"/>
  <c r="E74" i="22"/>
  <c r="E110" i="22"/>
  <c r="E102" i="22"/>
  <c r="E93" i="22"/>
  <c r="D138" i="25"/>
  <c r="E84" i="22"/>
  <c r="D202" i="25"/>
  <c r="E121" i="22"/>
  <c r="E55" i="25"/>
  <c r="E60" i="25"/>
  <c r="E66" i="25"/>
  <c r="E71" i="25"/>
  <c r="E77" i="25"/>
  <c r="E81" i="25"/>
  <c r="E85" i="25"/>
  <c r="E89" i="25"/>
  <c r="E94" i="25"/>
  <c r="E99" i="25"/>
  <c r="E103" i="25"/>
  <c r="E107" i="25"/>
  <c r="E111" i="25"/>
  <c r="E114" i="25"/>
  <c r="E101" i="22"/>
  <c r="E108" i="22"/>
  <c r="E100" i="22"/>
  <c r="D148" i="25"/>
  <c r="E91" i="22"/>
  <c r="E82" i="22"/>
  <c r="E119" i="22"/>
  <c r="E56" i="25"/>
  <c r="E62" i="25"/>
  <c r="E68" i="25"/>
  <c r="E72" i="25"/>
  <c r="E78" i="25"/>
  <c r="E82" i="25"/>
  <c r="E86" i="25"/>
  <c r="E91" i="25"/>
  <c r="E95" i="25"/>
  <c r="E100" i="25"/>
  <c r="E104" i="25"/>
  <c r="E108" i="25"/>
  <c r="E49" i="25"/>
  <c r="E117" i="25"/>
  <c r="D137" i="25"/>
  <c r="E83" i="22"/>
  <c r="E53" i="25"/>
  <c r="E118" i="25"/>
  <c r="E72" i="22"/>
  <c r="E70" i="22"/>
  <c r="E107" i="22"/>
  <c r="E99" i="22"/>
  <c r="D147" i="25"/>
  <c r="E90" i="22"/>
  <c r="D206" i="25"/>
  <c r="E126" i="22"/>
  <c r="E118" i="22"/>
  <c r="E116" i="25"/>
  <c r="E120" i="22"/>
  <c r="D126" i="25"/>
  <c r="E66" i="22"/>
  <c r="D129" i="25"/>
  <c r="E69" i="22"/>
  <c r="D201" i="25"/>
  <c r="E115" i="22"/>
  <c r="E106" i="22"/>
  <c r="E98" i="22"/>
  <c r="D146" i="25"/>
  <c r="E89" i="22"/>
  <c r="D205" i="25"/>
  <c r="E125" i="22"/>
  <c r="E117" i="22"/>
  <c r="E47" i="25"/>
  <c r="E58" i="25"/>
  <c r="E63" i="25"/>
  <c r="E69" i="25"/>
  <c r="E73" i="25"/>
  <c r="E79" i="25"/>
  <c r="E83" i="25"/>
  <c r="E87" i="25"/>
  <c r="E92" i="25"/>
  <c r="E97" i="25"/>
  <c r="E101" i="25"/>
  <c r="E105" i="25"/>
  <c r="E109" i="25"/>
  <c r="E51" i="25"/>
  <c r="E115" i="25"/>
  <c r="E109" i="22"/>
  <c r="D200" i="25"/>
  <c r="E114" i="22"/>
  <c r="E105" i="22"/>
  <c r="E97" i="22"/>
  <c r="D141" i="25"/>
  <c r="E87" i="22"/>
  <c r="E124" i="22"/>
  <c r="E116" i="22"/>
  <c r="E48" i="25"/>
  <c r="E120" i="25"/>
  <c r="D133" i="25"/>
  <c r="E77" i="22"/>
  <c r="D128" i="25"/>
  <c r="E68" i="22"/>
  <c r="D132" i="25"/>
  <c r="E76" i="22"/>
  <c r="D127" i="25"/>
  <c r="E67" i="22"/>
  <c r="E113" i="22"/>
  <c r="E104" i="22"/>
  <c r="D172" i="25"/>
  <c r="E96" i="22"/>
  <c r="D140" i="25"/>
  <c r="E86" i="22"/>
  <c r="D204" i="25"/>
  <c r="E123" i="22"/>
  <c r="E54" i="25"/>
  <c r="E59" i="25"/>
  <c r="E65" i="25"/>
  <c r="E70" i="25"/>
  <c r="E74" i="25"/>
  <c r="E80" i="25"/>
  <c r="E84" i="25"/>
  <c r="E88" i="25"/>
  <c r="E93" i="25"/>
  <c r="E98" i="25"/>
  <c r="E102" i="25"/>
  <c r="E106" i="25"/>
  <c r="E110" i="25"/>
  <c r="E119" i="25"/>
  <c r="E73" i="22"/>
  <c r="D131" i="25"/>
  <c r="E75" i="22"/>
  <c r="E112" i="22"/>
  <c r="E103" i="22"/>
  <c r="D171" i="25"/>
  <c r="E95" i="22"/>
  <c r="D139" i="25"/>
  <c r="E85" i="22"/>
  <c r="D203" i="25"/>
  <c r="E122" i="22"/>
  <c r="E50" i="25"/>
  <c r="E113" i="25"/>
  <c r="V238" i="20"/>
  <c r="A9" i="21"/>
  <c r="C9" i="21" s="1"/>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8" i="22"/>
  <c r="A13" i="22"/>
  <c r="C13" i="22" s="1"/>
  <c r="A11" i="22"/>
  <c r="C11" i="22" s="1"/>
  <c r="A12" i="22"/>
  <c r="C12" i="22" s="1"/>
  <c r="A14" i="22"/>
  <c r="C14" i="22" s="1"/>
  <c r="P173" i="20"/>
  <c r="P203" i="20"/>
  <c r="P279" i="20"/>
  <c r="P108" i="20"/>
  <c r="P166" i="20"/>
  <c r="P115" i="20"/>
  <c r="P123" i="20"/>
  <c r="P69" i="20"/>
  <c r="P77" i="20"/>
  <c r="P179" i="20"/>
  <c r="P226" i="20"/>
  <c r="P218" i="20"/>
  <c r="P210" i="20"/>
  <c r="P202" i="20"/>
  <c r="P194" i="20"/>
  <c r="P234" i="20"/>
  <c r="P305" i="20"/>
  <c r="P313" i="20"/>
  <c r="P322" i="20"/>
  <c r="P330" i="20"/>
  <c r="P292" i="20"/>
  <c r="P219" i="20"/>
  <c r="P269" i="20"/>
  <c r="P44" i="20"/>
  <c r="P133" i="20"/>
  <c r="P158" i="20"/>
  <c r="P216" i="20"/>
  <c r="P208" i="20"/>
  <c r="P62" i="20"/>
  <c r="P263" i="20"/>
  <c r="P273" i="20"/>
  <c r="P283" i="20"/>
  <c r="P290" i="20"/>
  <c r="P165" i="20"/>
  <c r="P187" i="20"/>
  <c r="P321" i="20"/>
  <c r="P259" i="20"/>
  <c r="P109" i="20"/>
  <c r="P70" i="20"/>
  <c r="P199" i="20"/>
  <c r="P191" i="20"/>
  <c r="P61" i="20"/>
  <c r="P231" i="20"/>
  <c r="P317" i="20"/>
  <c r="P325" i="20"/>
  <c r="P333" i="20"/>
  <c r="P254" i="20"/>
  <c r="P265" i="20"/>
  <c r="P107" i="20"/>
  <c r="P178" i="20"/>
  <c r="P38" i="20"/>
  <c r="P211" i="20"/>
  <c r="P289" i="20"/>
  <c r="P293" i="20"/>
  <c r="P271" i="20"/>
  <c r="P42" i="20"/>
  <c r="P207" i="20"/>
  <c r="P170" i="20"/>
  <c r="P95" i="20"/>
  <c r="P119" i="20"/>
  <c r="P127" i="20"/>
  <c r="P151" i="20"/>
  <c r="P183" i="20"/>
  <c r="P49" i="20"/>
  <c r="P58" i="20"/>
  <c r="P222" i="20"/>
  <c r="P214" i="20"/>
  <c r="P206" i="20"/>
  <c r="P198" i="20"/>
  <c r="P190" i="20"/>
  <c r="P230" i="20"/>
  <c r="P326" i="20"/>
  <c r="P256" i="20"/>
  <c r="P275" i="20"/>
  <c r="P301" i="20"/>
  <c r="P154" i="20"/>
  <c r="P195" i="20"/>
  <c r="P250" i="20"/>
  <c r="P182" i="20"/>
  <c r="P105" i="20"/>
  <c r="P162" i="20"/>
  <c r="P310" i="20"/>
  <c r="P246" i="20"/>
  <c r="P267" i="20"/>
  <c r="P277" i="20"/>
  <c r="P287" i="20"/>
  <c r="P295" i="20"/>
  <c r="P329" i="20"/>
  <c r="P157" i="20"/>
  <c r="P306" i="20"/>
  <c r="P297" i="20"/>
  <c r="P291" i="20"/>
  <c r="P164" i="20"/>
  <c r="P172" i="20"/>
  <c r="P121" i="20"/>
  <c r="P153" i="20"/>
  <c r="P177" i="20"/>
  <c r="P220" i="20"/>
  <c r="P188" i="20"/>
  <c r="P258" i="20"/>
  <c r="P294" i="20"/>
  <c r="T186" i="20"/>
  <c r="T150" i="20"/>
  <c r="T13" i="20"/>
  <c r="V13" i="20" s="1"/>
  <c r="T53" i="20"/>
  <c r="T102" i="20"/>
  <c r="T30" i="20"/>
  <c r="T52" i="20"/>
  <c r="T51" i="20"/>
  <c r="T99" i="20"/>
  <c r="T50" i="20"/>
  <c r="T31" i="20"/>
  <c r="D335" i="22"/>
  <c r="D315" i="22"/>
  <c r="D311" i="22"/>
  <c r="D289" i="22"/>
  <c r="D297" i="22"/>
  <c r="D294" i="22"/>
  <c r="D290" i="22"/>
  <c r="D286" i="22"/>
  <c r="D295" i="22"/>
  <c r="D288" i="22"/>
  <c r="D291" i="22"/>
  <c r="D292" i="22"/>
  <c r="D287" i="22"/>
  <c r="D296" i="22"/>
  <c r="D293" i="22"/>
  <c r="D284" i="22"/>
  <c r="D269" i="22"/>
  <c r="D265" i="22"/>
  <c r="D273" i="22"/>
  <c r="D261" i="22"/>
  <c r="D223" i="22"/>
  <c r="D220" i="22"/>
  <c r="D173" i="22"/>
  <c r="D175" i="22"/>
  <c r="D249" i="22"/>
  <c r="D254" i="22"/>
  <c r="D240" i="22"/>
  <c r="D241" i="22"/>
  <c r="T302" i="20"/>
  <c r="V302" i="20" s="1"/>
  <c r="T296" i="20"/>
  <c r="T251" i="20"/>
  <c r="V251" i="20" s="1"/>
  <c r="T252" i="20"/>
  <c r="V252" i="20" s="1"/>
  <c r="T268" i="20"/>
  <c r="V268" i="20" s="1"/>
  <c r="T239" i="20"/>
  <c r="V239" i="20" s="1"/>
  <c r="T299" i="20"/>
  <c r="V299" i="20" s="1"/>
  <c r="T281" i="20"/>
  <c r="V281" i="20" s="1"/>
  <c r="T285" i="20"/>
  <c r="V285" i="20" s="1"/>
  <c r="T240" i="20"/>
  <c r="V240" i="20" s="1"/>
  <c r="T244" i="20"/>
  <c r="T248" i="20"/>
  <c r="V248" i="20" s="1"/>
  <c r="T243" i="20"/>
  <c r="T247" i="20"/>
  <c r="V247" i="20" s="1"/>
  <c r="T255" i="20"/>
  <c r="T264" i="20"/>
  <c r="V264" i="20" s="1"/>
  <c r="T272" i="20"/>
  <c r="T276" i="20"/>
  <c r="V276" i="20" s="1"/>
  <c r="T253" i="20"/>
  <c r="T262" i="20"/>
  <c r="V262" i="20" s="1"/>
  <c r="T266" i="20"/>
  <c r="T270" i="20"/>
  <c r="V270" i="20" s="1"/>
  <c r="T284" i="20"/>
  <c r="V284" i="20" s="1"/>
  <c r="T298" i="20"/>
  <c r="V298" i="20" s="1"/>
  <c r="T245" i="20"/>
  <c r="V245" i="20" s="1"/>
  <c r="T249" i="20"/>
  <c r="T257" i="20"/>
  <c r="V257" i="20" s="1"/>
  <c r="T280" i="20"/>
  <c r="V280" i="20" s="1"/>
  <c r="T241" i="20"/>
  <c r="V241" i="20" s="1"/>
  <c r="T274" i="20"/>
  <c r="V274" i="20" s="1"/>
  <c r="T278" i="20"/>
  <c r="V278" i="20" s="1"/>
  <c r="T288" i="20"/>
  <c r="V288" i="20" s="1"/>
  <c r="T300" i="20"/>
  <c r="V300" i="20" s="1"/>
  <c r="T282" i="20"/>
  <c r="V282" i="20" s="1"/>
  <c r="T286" i="20"/>
  <c r="V286" i="20" s="1"/>
  <c r="T56" i="20"/>
  <c r="T79" i="20"/>
  <c r="T94" i="20"/>
  <c r="T114" i="20"/>
  <c r="T82" i="20"/>
  <c r="T81" i="20"/>
  <c r="T93" i="20"/>
  <c r="T78" i="20"/>
  <c r="T91" i="20"/>
  <c r="T84" i="20"/>
  <c r="T90" i="20"/>
  <c r="T83" i="20"/>
  <c r="T140" i="20"/>
  <c r="T76" i="20"/>
  <c r="T67" i="20"/>
  <c r="T72" i="20"/>
  <c r="T64" i="20"/>
  <c r="T71" i="20"/>
  <c r="T143" i="20"/>
  <c r="T225" i="20"/>
  <c r="T63" i="20"/>
  <c r="T59" i="20"/>
  <c r="T217" i="20"/>
  <c r="T224" i="20"/>
  <c r="T185" i="20"/>
  <c r="T155" i="20"/>
  <c r="T160" i="20"/>
  <c r="T152" i="20"/>
  <c r="T113" i="20"/>
  <c r="T118" i="20"/>
  <c r="T116" i="20"/>
  <c r="T132" i="20"/>
  <c r="T167" i="20"/>
  <c r="T110" i="20"/>
  <c r="T161" i="20"/>
  <c r="T16" i="20"/>
  <c r="V16" i="20" s="1"/>
  <c r="T15" i="20"/>
  <c r="T14" i="20"/>
  <c r="E144" i="22" l="1"/>
  <c r="E169" i="25" s="1"/>
  <c r="D248" i="22"/>
  <c r="D153" i="25" s="1"/>
  <c r="E246" i="22"/>
  <c r="E151" i="25" s="1"/>
  <c r="D246" i="22"/>
  <c r="D151" i="25" s="1"/>
  <c r="E172" i="25"/>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E343" i="22"/>
  <c r="E344" i="22"/>
  <c r="E342" i="22"/>
  <c r="E345" i="22"/>
  <c r="E341" i="22"/>
  <c r="E340" i="22"/>
  <c r="E335" i="22"/>
  <c r="E338" i="22"/>
  <c r="E334" i="22"/>
  <c r="E332" i="22"/>
  <c r="E336" i="22"/>
  <c r="E337" i="22"/>
  <c r="E333" i="22"/>
  <c r="E331" i="22"/>
  <c r="E327" i="22"/>
  <c r="E326" i="22"/>
  <c r="E329" i="22"/>
  <c r="E328" i="22"/>
  <c r="E325" i="22"/>
  <c r="E320" i="22"/>
  <c r="E323" i="22"/>
  <c r="E322" i="22"/>
  <c r="E321" i="22"/>
  <c r="E319" i="22"/>
  <c r="E315" i="22"/>
  <c r="E314" i="22"/>
  <c r="E317" i="22"/>
  <c r="E316" i="22"/>
  <c r="E313" i="22"/>
  <c r="E311" i="22"/>
  <c r="E310" i="22"/>
  <c r="E302" i="22"/>
  <c r="E307" i="22"/>
  <c r="E301" i="22"/>
  <c r="E304" i="22"/>
  <c r="E308" i="22"/>
  <c r="E303" i="22"/>
  <c r="E300" i="22"/>
  <c r="E305" i="22"/>
  <c r="E306" i="22"/>
  <c r="E299" i="22"/>
  <c r="D258" i="25"/>
  <c r="E296" i="22"/>
  <c r="E258" i="25" s="1"/>
  <c r="D256" i="25"/>
  <c r="E294" i="22"/>
  <c r="E256" i="25" s="1"/>
  <c r="D255" i="25"/>
  <c r="E293" i="22"/>
  <c r="E255" i="25" s="1"/>
  <c r="D249" i="25"/>
  <c r="E287" i="22"/>
  <c r="E249" i="25" s="1"/>
  <c r="D259" i="25"/>
  <c r="E297" i="22"/>
  <c r="E259" i="25" s="1"/>
  <c r="D254" i="25"/>
  <c r="E292" i="22"/>
  <c r="E254" i="25" s="1"/>
  <c r="D251" i="25"/>
  <c r="E289" i="22"/>
  <c r="E251" i="25" s="1"/>
  <c r="D253" i="25"/>
  <c r="E291" i="22"/>
  <c r="E253" i="25" s="1"/>
  <c r="D252" i="25"/>
  <c r="E290" i="22"/>
  <c r="E252" i="25" s="1"/>
  <c r="D250" i="25"/>
  <c r="E288" i="22"/>
  <c r="E250" i="25" s="1"/>
  <c r="D257" i="25"/>
  <c r="E295" i="22"/>
  <c r="E257" i="25" s="1"/>
  <c r="D248" i="25"/>
  <c r="E286" i="22"/>
  <c r="E248" i="25" s="1"/>
  <c r="D226" i="25"/>
  <c r="E264" i="22"/>
  <c r="E226" i="25" s="1"/>
  <c r="D244" i="25"/>
  <c r="E282" i="22"/>
  <c r="E244" i="25" s="1"/>
  <c r="D246" i="25"/>
  <c r="E284" i="22"/>
  <c r="E246" i="25" s="1"/>
  <c r="D238" i="25"/>
  <c r="E276" i="22"/>
  <c r="E238" i="25" s="1"/>
  <c r="D245" i="25"/>
  <c r="E283" i="22"/>
  <c r="E245" i="25" s="1"/>
  <c r="D243" i="25"/>
  <c r="E281" i="22"/>
  <c r="E243" i="25" s="1"/>
  <c r="D222" i="25"/>
  <c r="E260" i="22"/>
  <c r="E222" i="25" s="1"/>
  <c r="D237" i="25"/>
  <c r="E275" i="22"/>
  <c r="E237" i="25" s="1"/>
  <c r="D235" i="25"/>
  <c r="E273" i="22"/>
  <c r="E235" i="25" s="1"/>
  <c r="D229" i="25"/>
  <c r="E267" i="22"/>
  <c r="E229" i="25" s="1"/>
  <c r="D221" i="25"/>
  <c r="E259" i="22"/>
  <c r="E221" i="25" s="1"/>
  <c r="D232" i="25"/>
  <c r="E270" i="22"/>
  <c r="E232" i="25" s="1"/>
  <c r="D227" i="25"/>
  <c r="E265" i="22"/>
  <c r="E227" i="25" s="1"/>
  <c r="D236" i="25"/>
  <c r="E274" i="22"/>
  <c r="E236" i="25" s="1"/>
  <c r="D228" i="25"/>
  <c r="E266" i="22"/>
  <c r="E228" i="25" s="1"/>
  <c r="D239" i="25"/>
  <c r="E277" i="22"/>
  <c r="E239" i="25" s="1"/>
  <c r="D219" i="25"/>
  <c r="E257" i="22"/>
  <c r="E219" i="25" s="1"/>
  <c r="D220" i="25"/>
  <c r="E258" i="22"/>
  <c r="E220" i="25" s="1"/>
  <c r="D241" i="25"/>
  <c r="E279" i="22"/>
  <c r="E241" i="25" s="1"/>
  <c r="D223" i="25"/>
  <c r="E261" i="22"/>
  <c r="E223" i="25" s="1"/>
  <c r="D240" i="25"/>
  <c r="E278" i="22"/>
  <c r="E240" i="25" s="1"/>
  <c r="D242" i="25"/>
  <c r="E280" i="22"/>
  <c r="E242" i="25" s="1"/>
  <c r="D233" i="25"/>
  <c r="E271" i="22"/>
  <c r="E233" i="25" s="1"/>
  <c r="D231" i="25"/>
  <c r="E269" i="22"/>
  <c r="E231" i="25" s="1"/>
  <c r="D230" i="25"/>
  <c r="E268" i="22"/>
  <c r="E230" i="25" s="1"/>
  <c r="D224" i="25"/>
  <c r="E262" i="22"/>
  <c r="E224" i="25" s="1"/>
  <c r="D234" i="25"/>
  <c r="E272" i="22"/>
  <c r="E234" i="25" s="1"/>
  <c r="D225" i="25"/>
  <c r="E263" i="22"/>
  <c r="E225" i="25" s="1"/>
  <c r="D218" i="25"/>
  <c r="E256" i="22"/>
  <c r="E218" i="25" s="1"/>
  <c r="D152" i="25"/>
  <c r="E247" i="22"/>
  <c r="E152" i="25" s="1"/>
  <c r="D158" i="25"/>
  <c r="E253" i="22"/>
  <c r="E158" i="25" s="1"/>
  <c r="D156" i="25"/>
  <c r="E251" i="22"/>
  <c r="E156" i="25" s="1"/>
  <c r="D157" i="25"/>
  <c r="E252" i="22"/>
  <c r="E157" i="25" s="1"/>
  <c r="D155" i="25"/>
  <c r="E250" i="22"/>
  <c r="E155" i="25" s="1"/>
  <c r="E248" i="22"/>
  <c r="E153" i="25" s="1"/>
  <c r="D159" i="25"/>
  <c r="E254" i="22"/>
  <c r="E159" i="25" s="1"/>
  <c r="D154" i="25"/>
  <c r="E249" i="22"/>
  <c r="E154" i="25" s="1"/>
  <c r="E237" i="22"/>
  <c r="E239" i="22"/>
  <c r="E232" i="22"/>
  <c r="E236" i="22"/>
  <c r="E229" i="22"/>
  <c r="E230" i="22"/>
  <c r="E228" i="22"/>
  <c r="E238" i="22"/>
  <c r="E243" i="22"/>
  <c r="E240" i="22"/>
  <c r="E244" i="22"/>
  <c r="E242" i="22"/>
  <c r="E241" i="22"/>
  <c r="D144" i="25"/>
  <c r="E233" i="22"/>
  <c r="E144" i="25" s="1"/>
  <c r="E235" i="22"/>
  <c r="E234" i="22"/>
  <c r="D143" i="25"/>
  <c r="E231" i="22"/>
  <c r="E143" i="25" s="1"/>
  <c r="E227" i="22"/>
  <c r="D216" i="25"/>
  <c r="E225" i="22"/>
  <c r="E216" i="25" s="1"/>
  <c r="D215" i="25"/>
  <c r="E223" i="22"/>
  <c r="E215" i="25" s="1"/>
  <c r="E222" i="22"/>
  <c r="E224" i="22"/>
  <c r="D214" i="25"/>
  <c r="E221" i="22"/>
  <c r="E214" i="25" s="1"/>
  <c r="D213" i="25"/>
  <c r="E220" i="22"/>
  <c r="E213" i="25" s="1"/>
  <c r="D209" i="25"/>
  <c r="E216" i="22"/>
  <c r="E209" i="25" s="1"/>
  <c r="D210" i="25"/>
  <c r="E217" i="22"/>
  <c r="E210" i="25" s="1"/>
  <c r="D211" i="25"/>
  <c r="E218" i="22"/>
  <c r="E211" i="25" s="1"/>
  <c r="D208" i="25"/>
  <c r="E215" i="22"/>
  <c r="E208" i="25" s="1"/>
  <c r="E213" i="22"/>
  <c r="D194" i="25"/>
  <c r="E204" i="22"/>
  <c r="E194" i="25" s="1"/>
  <c r="D195" i="25"/>
  <c r="E205" i="22"/>
  <c r="E195" i="25" s="1"/>
  <c r="E212" i="22"/>
  <c r="E210" i="22"/>
  <c r="E209" i="22"/>
  <c r="D197" i="25"/>
  <c r="E207" i="22"/>
  <c r="E197" i="25" s="1"/>
  <c r="D196" i="25"/>
  <c r="E206" i="22"/>
  <c r="E196" i="25" s="1"/>
  <c r="E208" i="22"/>
  <c r="D198" i="25"/>
  <c r="E211" i="22"/>
  <c r="E198" i="25" s="1"/>
  <c r="D193" i="25"/>
  <c r="E203" i="22"/>
  <c r="E193" i="25" s="1"/>
  <c r="E175" i="22"/>
  <c r="E176" i="22"/>
  <c r="D162" i="25"/>
  <c r="E172" i="22"/>
  <c r="E162" i="25" s="1"/>
  <c r="E183" i="22"/>
  <c r="E179" i="22"/>
  <c r="E182" i="22"/>
  <c r="D163" i="25"/>
  <c r="E178" i="22"/>
  <c r="E163" i="25" s="1"/>
  <c r="E174" i="22"/>
  <c r="E181" i="22"/>
  <c r="E177" i="22"/>
  <c r="E173" i="22"/>
  <c r="E184" i="22"/>
  <c r="E180" i="22"/>
  <c r="D161" i="25"/>
  <c r="E171" i="22"/>
  <c r="E161" i="25" s="1"/>
  <c r="E166" i="22"/>
  <c r="D180" i="25"/>
  <c r="E156" i="22"/>
  <c r="E180" i="25" s="1"/>
  <c r="E162" i="22"/>
  <c r="D184" i="25"/>
  <c r="E160" i="22"/>
  <c r="E184" i="25" s="1"/>
  <c r="D182" i="25"/>
  <c r="E158" i="22"/>
  <c r="E182" i="25" s="1"/>
  <c r="E148" i="22"/>
  <c r="D178" i="25"/>
  <c r="E154" i="22"/>
  <c r="E178" i="25" s="1"/>
  <c r="D175" i="25"/>
  <c r="E150" i="22"/>
  <c r="E175" i="25" s="1"/>
  <c r="E164" i="22"/>
  <c r="D174" i="25"/>
  <c r="E149" i="22"/>
  <c r="E174" i="25" s="1"/>
  <c r="D177" i="25"/>
  <c r="E153" i="22"/>
  <c r="E177" i="25" s="1"/>
  <c r="D176" i="25"/>
  <c r="E152" i="22"/>
  <c r="E176" i="25" s="1"/>
  <c r="D188" i="25"/>
  <c r="E169" i="22"/>
  <c r="E188" i="25" s="1"/>
  <c r="E167" i="22"/>
  <c r="D181" i="25"/>
  <c r="E157" i="22"/>
  <c r="E181" i="25" s="1"/>
  <c r="E151" i="22"/>
  <c r="D186" i="25"/>
  <c r="E163" i="22"/>
  <c r="E186" i="25" s="1"/>
  <c r="D185" i="25"/>
  <c r="E161" i="22"/>
  <c r="E185" i="25" s="1"/>
  <c r="D183" i="25"/>
  <c r="E159" i="22"/>
  <c r="E183" i="25" s="1"/>
  <c r="D187" i="25"/>
  <c r="E168" i="22"/>
  <c r="E187" i="25" s="1"/>
  <c r="D179" i="25"/>
  <c r="E155" i="22"/>
  <c r="E179" i="25" s="1"/>
  <c r="E165" i="22"/>
  <c r="E147" i="22"/>
  <c r="E138" i="22"/>
  <c r="E142" i="22"/>
  <c r="E130" i="22"/>
  <c r="E134" i="22"/>
  <c r="E132" i="22"/>
  <c r="E145" i="22"/>
  <c r="E143" i="22"/>
  <c r="E141" i="22"/>
  <c r="E137" i="22"/>
  <c r="E135" i="22"/>
  <c r="E133" i="22"/>
  <c r="D167" i="25"/>
  <c r="E139" i="22"/>
  <c r="E167" i="25" s="1"/>
  <c r="E136" i="22"/>
  <c r="D166" i="25"/>
  <c r="E129" i="22"/>
  <c r="E166" i="25" s="1"/>
  <c r="E131" i="22"/>
  <c r="D168" i="25"/>
  <c r="E140" i="22"/>
  <c r="E168" i="25" s="1"/>
  <c r="D165" i="25"/>
  <c r="E128" i="22"/>
  <c r="E165" i="25" s="1"/>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T3" i="20"/>
  <c r="P96" i="20"/>
  <c r="P167" i="20"/>
  <c r="P126" i="20"/>
  <c r="P212" i="20"/>
  <c r="P75" i="20"/>
  <c r="P93" i="20"/>
  <c r="P82" i="20"/>
  <c r="P311" i="20"/>
  <c r="P274" i="20"/>
  <c r="P257" i="20"/>
  <c r="P266" i="20"/>
  <c r="P276" i="20"/>
  <c r="P255" i="20"/>
  <c r="P251" i="20"/>
  <c r="P103" i="20"/>
  <c r="P54" i="20"/>
  <c r="P41" i="20"/>
  <c r="P12" i="20"/>
  <c r="P186" i="20"/>
  <c r="P47" i="20"/>
  <c r="P180" i="20"/>
  <c r="P175" i="20"/>
  <c r="P174" i="20"/>
  <c r="P184" i="20"/>
  <c r="P45" i="20"/>
  <c r="P192" i="20"/>
  <c r="P209" i="20"/>
  <c r="P84" i="20"/>
  <c r="P89" i="20"/>
  <c r="P114" i="20"/>
  <c r="P331" i="20"/>
  <c r="P249" i="20"/>
  <c r="P262" i="20"/>
  <c r="P232" i="20"/>
  <c r="P97" i="20"/>
  <c r="P25" i="20"/>
  <c r="P215" i="20"/>
  <c r="P91" i="20"/>
  <c r="P300" i="20"/>
  <c r="P296" i="20"/>
  <c r="P53" i="20"/>
  <c r="P116" i="20"/>
  <c r="P155" i="20"/>
  <c r="P60" i="20"/>
  <c r="P204" i="20"/>
  <c r="P223" i="20"/>
  <c r="P228" i="20"/>
  <c r="P71" i="20"/>
  <c r="P72" i="20"/>
  <c r="P90" i="20"/>
  <c r="P81" i="20"/>
  <c r="P94" i="20"/>
  <c r="P79" i="20"/>
  <c r="P307" i="20"/>
  <c r="P332" i="20"/>
  <c r="P282" i="20"/>
  <c r="P288" i="20"/>
  <c r="P298" i="20"/>
  <c r="P281" i="20"/>
  <c r="P312" i="20"/>
  <c r="P169" i="20"/>
  <c r="P176" i="20"/>
  <c r="P113" i="20"/>
  <c r="P152" i="20"/>
  <c r="P181" i="20"/>
  <c r="P68" i="20"/>
  <c r="P83" i="20"/>
  <c r="P316" i="20"/>
  <c r="P286" i="20"/>
  <c r="P253" i="20"/>
  <c r="P39" i="20"/>
  <c r="P124" i="20"/>
  <c r="P163" i="20"/>
  <c r="P134" i="20"/>
  <c r="P117" i="20"/>
  <c r="P201" i="20"/>
  <c r="P196" i="20"/>
  <c r="P189" i="20"/>
  <c r="P66" i="20"/>
  <c r="P67" i="20"/>
  <c r="P85" i="20"/>
  <c r="P88" i="20"/>
  <c r="P56" i="20"/>
  <c r="P327" i="20"/>
  <c r="P284" i="20"/>
  <c r="P243" i="20"/>
  <c r="P233" i="20"/>
  <c r="P171" i="20"/>
  <c r="P26" i="20"/>
  <c r="P27" i="20"/>
  <c r="P29" i="20"/>
  <c r="P30" i="20"/>
  <c r="P102" i="20"/>
  <c r="P50" i="20"/>
  <c r="P51" i="20"/>
  <c r="P52" i="20"/>
  <c r="P40" i="20"/>
  <c r="P309" i="20"/>
  <c r="P15" i="20"/>
  <c r="P132" i="20"/>
  <c r="P118" i="20"/>
  <c r="P213" i="20"/>
  <c r="P59" i="20"/>
  <c r="P65" i="20"/>
  <c r="P120" i="20"/>
  <c r="P131" i="20"/>
  <c r="P319" i="20"/>
  <c r="P245" i="20"/>
  <c r="P110" i="20"/>
  <c r="P122" i="20"/>
  <c r="P63" i="20"/>
  <c r="P76" i="20"/>
  <c r="P92" i="20"/>
  <c r="P130" i="20"/>
  <c r="P315" i="20"/>
  <c r="P320" i="20"/>
  <c r="P324" i="20"/>
  <c r="P264" i="20"/>
  <c r="P14" i="20"/>
  <c r="P161" i="20"/>
  <c r="P128" i="20"/>
  <c r="P156" i="20"/>
  <c r="P159" i="20"/>
  <c r="P200" i="20"/>
  <c r="P217" i="20"/>
  <c r="P74" i="20"/>
  <c r="P78" i="20"/>
  <c r="P80" i="20"/>
  <c r="P57" i="20"/>
  <c r="P278" i="20"/>
  <c r="P285" i="20"/>
  <c r="P299" i="20"/>
  <c r="P268" i="20"/>
  <c r="P302" i="20"/>
  <c r="P31" i="20"/>
  <c r="P99" i="20"/>
  <c r="P100" i="20"/>
  <c r="P101" i="20"/>
  <c r="P28" i="20"/>
  <c r="P48" i="20"/>
  <c r="P314" i="20"/>
  <c r="P106" i="20"/>
  <c r="P125" i="20"/>
  <c r="P221" i="20"/>
  <c r="P64" i="20"/>
  <c r="P129" i="20"/>
  <c r="P272" i="20"/>
  <c r="P205" i="20"/>
  <c r="P193" i="20"/>
  <c r="P73" i="20"/>
  <c r="P112" i="20"/>
  <c r="P104" i="20"/>
  <c r="P168" i="20"/>
  <c r="P111" i="20"/>
  <c r="P185" i="20"/>
  <c r="P46" i="20"/>
  <c r="P37" i="20"/>
  <c r="P229" i="20"/>
  <c r="P197" i="20"/>
  <c r="P43" i="20"/>
  <c r="P86" i="20"/>
  <c r="P323" i="20"/>
  <c r="P328" i="20"/>
  <c r="P280" i="20"/>
  <c r="P270" i="20"/>
  <c r="P252" i="20"/>
  <c r="P98" i="20"/>
  <c r="P55" i="20"/>
  <c r="F21" i="14"/>
  <c r="E38" i="22" l="1"/>
  <c r="D24" i="25"/>
  <c r="D31" i="22"/>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R3" i="20"/>
  <c r="R4" i="20" s="1"/>
  <c r="R5" i="20" s="1"/>
  <c r="R6" i="20" s="1"/>
  <c r="R7" i="20" s="1"/>
  <c r="R8" i="20" s="1"/>
  <c r="R9" i="20" s="1"/>
  <c r="R10" i="20" s="1"/>
  <c r="R11" i="20" s="1"/>
  <c r="R12" i="20" s="1"/>
  <c r="S3" i="20"/>
  <c r="D23" i="25"/>
  <c r="D33" i="22"/>
  <c r="D27" i="25"/>
  <c r="D30" i="25"/>
  <c r="D30" i="22"/>
  <c r="D34" i="22"/>
  <c r="D29" i="25"/>
  <c r="D22" i="22"/>
  <c r="D24" i="22"/>
  <c r="D27" i="22"/>
  <c r="D28" i="22"/>
  <c r="D26" i="25"/>
  <c r="D36" i="22"/>
  <c r="D28" i="25"/>
  <c r="D29" i="22"/>
  <c r="D25" i="22"/>
  <c r="D35" i="22"/>
  <c r="D25" i="25"/>
  <c r="D22" i="25"/>
  <c r="D19" i="21" l="1"/>
  <c r="F19" i="21" s="1"/>
  <c r="E24" i="25"/>
  <c r="F24" i="25" s="1"/>
  <c r="E31" i="22"/>
  <c r="F31" i="22" s="1"/>
  <c r="C20" i="21"/>
  <c r="U5" i="20"/>
  <c r="U6" i="20" s="1"/>
  <c r="U7" i="20" s="1"/>
  <c r="U8" i="20" s="1"/>
  <c r="U9" i="20" s="1"/>
  <c r="U10" i="20" s="1"/>
  <c r="U11" i="20" s="1"/>
  <c r="U12" i="20" s="1"/>
  <c r="T335" i="20"/>
  <c r="A26" i="21" s="1"/>
  <c r="H38" i="21"/>
  <c r="R13" i="20"/>
  <c r="S12" i="20"/>
  <c r="E30" i="25"/>
  <c r="F30" i="25" s="1"/>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s="1"/>
  <c r="D37" i="22"/>
  <c r="D20" i="21"/>
  <c r="E22" i="25"/>
  <c r="F22" i="25" s="1"/>
  <c r="F32" i="22" l="1"/>
  <c r="F23" i="22"/>
  <c r="F21" i="22"/>
  <c r="F37" i="22"/>
  <c r="E19" i="21"/>
  <c r="E20" i="21"/>
  <c r="F20" i="21" s="1"/>
  <c r="H39" i="21"/>
  <c r="A27" i="21"/>
  <c r="U13" i="20"/>
  <c r="U14" i="20" s="1"/>
  <c r="V12" i="20"/>
  <c r="R14" i="20"/>
  <c r="S13" i="20"/>
  <c r="F38" i="22"/>
  <c r="D40" i="22"/>
  <c r="E26" i="22"/>
  <c r="F26" i="22" s="1"/>
  <c r="E21" i="25"/>
  <c r="F21" i="25" s="1"/>
  <c r="U15" i="20" l="1"/>
  <c r="U16" i="20" s="1"/>
  <c r="U17" i="20" s="1"/>
  <c r="U18" i="20" s="1"/>
  <c r="U19" i="20" s="1"/>
  <c r="U20" i="20" s="1"/>
  <c r="U21" i="20" s="1"/>
  <c r="U22" i="20" s="1"/>
  <c r="U23" i="20" s="1"/>
  <c r="U24" i="20" s="1"/>
  <c r="U25" i="20" s="1"/>
  <c r="V14" i="20"/>
  <c r="H40" i="21"/>
  <c r="V15" i="20"/>
  <c r="A28" i="21"/>
  <c r="R15" i="20"/>
  <c r="S14" i="20"/>
  <c r="S30" i="20"/>
  <c r="E31" i="25"/>
  <c r="F31" i="25" s="1"/>
  <c r="E39" i="22" l="1"/>
  <c r="F39" i="22" s="1"/>
  <c r="U26" i="20"/>
  <c r="V25" i="20"/>
  <c r="A29" i="21"/>
  <c r="V30" i="20"/>
  <c r="H41" i="21"/>
  <c r="R16" i="20"/>
  <c r="S15" i="20"/>
  <c r="E40" i="22" l="1"/>
  <c r="F40" i="22" s="1"/>
  <c r="U27" i="20"/>
  <c r="U28" i="20" s="1"/>
  <c r="U29" i="20" s="1"/>
  <c r="V26" i="20"/>
  <c r="H42" i="21"/>
  <c r="A30" i="21"/>
  <c r="V31" i="20"/>
  <c r="R17" i="20"/>
  <c r="R18" i="20" s="1"/>
  <c r="R19" i="20" s="1"/>
  <c r="S16" i="20"/>
  <c r="S50" i="20"/>
  <c r="U30" i="20" l="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U178" i="20" s="1"/>
  <c r="U179" i="20" s="1"/>
  <c r="V29" i="20"/>
  <c r="V89" i="20"/>
  <c r="V104" i="20"/>
  <c r="V177" i="20"/>
  <c r="V178" i="20"/>
  <c r="R20" i="20"/>
  <c r="S19" i="20"/>
  <c r="H43" i="21"/>
  <c r="A31" i="21"/>
  <c r="S51" i="20"/>
  <c r="V37" i="20" l="1"/>
  <c r="R21" i="20"/>
  <c r="R22" i="20" s="1"/>
  <c r="R23" i="20" s="1"/>
  <c r="S20" i="20"/>
  <c r="U180" i="20"/>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S53" i="20"/>
  <c r="V53" i="20"/>
  <c r="A38" i="21"/>
  <c r="V63" i="20"/>
  <c r="H50" i="21"/>
  <c r="S64" i="20"/>
  <c r="R98" i="20" l="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R139" i="20" s="1"/>
  <c r="R140" i="20" s="1"/>
  <c r="R141" i="20" s="1"/>
  <c r="R142" i="20" s="1"/>
  <c r="R143" i="20" s="1"/>
  <c r="R144" i="20" s="1"/>
  <c r="R145" i="20" s="1"/>
  <c r="R146" i="20" s="1"/>
  <c r="S97" i="20"/>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S146" i="20"/>
  <c r="V56" i="20"/>
  <c r="H52" i="21"/>
  <c r="A40" i="21"/>
  <c r="S69" i="20"/>
  <c r="R242" i="20" l="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241" i="20"/>
  <c r="V57" i="20"/>
  <c r="A41" i="21"/>
  <c r="H53" i="21"/>
  <c r="S71" i="20"/>
  <c r="S243" i="20" l="1"/>
  <c r="V58" i="20"/>
  <c r="H54" i="21"/>
  <c r="V71" i="20"/>
  <c r="A42" i="21"/>
  <c r="S72" i="20"/>
  <c r="V64" i="20" l="1"/>
  <c r="V72" i="20"/>
  <c r="H55" i="21"/>
  <c r="A43" i="21"/>
  <c r="S76" i="20"/>
  <c r="V65" i="20" l="1"/>
  <c r="A44" i="21"/>
  <c r="H56" i="21"/>
  <c r="V76" i="20"/>
  <c r="S77" i="20"/>
  <c r="V66" i="20" l="1"/>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B117" i="21" s="1"/>
  <c r="F117" i="21" s="1"/>
  <c r="J128" i="21"/>
  <c r="K128" i="21"/>
  <c r="L128" i="21"/>
  <c r="H130" i="21"/>
  <c r="I129" i="21"/>
  <c r="M129" i="21" s="1"/>
  <c r="A118" i="2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<sst xmlns="http://schemas.openxmlformats.org/spreadsheetml/2006/main" count="5847" uniqueCount="1909">
  <si>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</si>
  <si>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</si>
  <si>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</si>
  <si>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</si>
  <si>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</si>
  <si>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</si>
  <si>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</si>
  <si>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</si>
  <si>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</si>
  <si>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</si>
  <si>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</si>
  <si>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</si>
  <si>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</si>
  <si>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</si>
  <si>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</si>
  <si>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</si>
  <si>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</si>
  <si>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</si>
  <si>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</si>
  <si>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</si>
  <si>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</si>
  <si>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</si>
  <si>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</si>
  <si>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</si>
  <si>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</si>
  <si>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</si>
  <si>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</si>
  <si>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</si>
  <si>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</si>
  <si>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</si>
  <si>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</si>
  <si>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</si>
  <si>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</si>
  <si>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</si>
  <si>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</si>
  <si>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</si>
  <si>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</si>
  <si>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</si>
  <si>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</si>
  <si>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</si>
  <si>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</si>
  <si>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</si>
  <si>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</si>
  <si>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</si>
  <si>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</si>
  <si>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</si>
  <si>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</si>
  <si>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</si>
  <si>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</si>
  <si>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</si>
  <si>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</si>
  <si>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</si>
  <si>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</si>
  <si>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</si>
  <si>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</si>
  <si>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</si>
  <si>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</si>
  <si>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</si>
  <si>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</si>
  <si>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</si>
  <si>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</si>
  <si>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</si>
  <si>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</si>
  <si>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</si>
  <si>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</si>
  <si>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</si>
  <si>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</si>
  <si>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</si>
  <si>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</si>
  <si>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</si>
  <si>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</si>
  <si>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</si>
  <si>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</si>
  <si>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</si>
  <si>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</si>
  <si>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</si>
  <si>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</si>
  <si>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</si>
  <si>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</si>
  <si>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</si>
  <si>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</si>
  <si>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</si>
  <si>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</si>
  <si>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</si>
  <si>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</si>
  <si>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</si>
  <si>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</si>
  <si>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</si>
  <si>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</si>
  <si>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</si>
  <si>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</si>
  <si>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</si>
  <si>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</si>
  <si>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</si>
  <si>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</si>
  <si>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</si>
  <si>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</si>
  <si>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</si>
  <si>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</si>
  <si>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</si>
  <si>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</si>
  <si>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</si>
  <si>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</si>
  <si>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</si>
  <si>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</si>
  <si>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</si>
  <si>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</si>
  <si>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</si>
  <si>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</si>
  <si>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</si>
  <si>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</si>
  <si>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</si>
  <si>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</si>
  <si>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</si>
  <si>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</si>
  <si>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</si>
  <si>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</si>
  <si>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</si>
  <si>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</si>
  <si>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</si>
  <si>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</si>
  <si>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</si>
  <si>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</si>
  <si>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</si>
  <si>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</si>
  <si>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</si>
  <si>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</si>
  <si>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</si>
  <si>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</si>
  <si>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</si>
  <si>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</si>
  <si>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</si>
  <si>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</si>
  <si>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</si>
  <si>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</si>
  <si>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</si>
  <si>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</si>
  <si>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</si>
  <si>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</si>
  <si>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</si>
  <si>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</si>
  <si>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</si>
  <si>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</si>
  <si>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</si>
  <si>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</si>
  <si>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</si>
  <si>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</si>
  <si>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</si>
  <si>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</si>
  <si>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</si>
  <si>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</si>
  <si>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</si>
  <si>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</si>
  <si>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</si>
  <si>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</si>
  <si>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</si>
  <si>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</si>
  <si>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CONS-07</t>
  </si>
  <si>
    <t>CONS-08</t>
  </si>
  <si>
    <t>Will the consultant need remote access to the institution's network or systems?</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</si>
  <si>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</si>
  <si>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</si>
  <si>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</si>
  <si>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</si>
  <si>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</si>
  <si>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</si>
  <si>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</si>
  <si>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</si>
  <si>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</si>
  <si>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</si>
  <si>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</si>
  <si>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</si>
  <si>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</si>
  <si>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</si>
  <si>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</si>
  <si>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</si>
  <si>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</si>
  <si>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</si>
  <si>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</si>
  <si>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</si>
  <si>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</si>
  <si>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</si>
  <si>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</si>
  <si>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</si>
  <si>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</si>
  <si>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</si>
  <si>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</si>
  <si>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</si>
  <si>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</si>
  <si>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</si>
  <si>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</si>
  <si>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</si>
  <si>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</si>
  <si>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</si>
  <si>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</si>
  <si>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</si>
  <si>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</si>
  <si>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</si>
  <si>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</si>
  <si>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</si>
  <si>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</si>
  <si>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</si>
  <si>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</si>
  <si>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</si>
  <si>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</si>
  <si>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</si>
  <si>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</si>
  <si>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</si>
  <si>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</si>
  <si>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</si>
  <si>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</si>
  <si>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</si>
  <si>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</si>
  <si>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</si>
  <si>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</si>
  <si>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</si>
  <si>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</si>
  <si>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</si>
  <si>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</si>
  <si>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</si>
  <si>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</si>
  <si>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</si>
  <si>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</si>
  <si>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</si>
  <si>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</si>
  <si>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</si>
  <si>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</si>
  <si>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</si>
  <si>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</si>
  <si>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</si>
  <si>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</si>
  <si>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</si>
  <si>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</si>
  <si>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</si>
  <si>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</si>
  <si>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</si>
  <si>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</si>
  <si>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</si>
  <si>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</si>
  <si>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</si>
  <si>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</si>
  <si>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</si>
  <si>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</si>
  <si>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</si>
  <si>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</si>
  <si>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</si>
  <si>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</si>
  <si>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</si>
  <si>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</si>
  <si>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</si>
  <si>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</si>
  <si>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</si>
  <si>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</si>
  <si>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</si>
  <si>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</si>
  <si>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</si>
  <si>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</si>
  <si>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</si>
  <si>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</si>
  <si>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</si>
  <si>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</si>
  <si>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</si>
  <si>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</si>
  <si>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</si>
  <si>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</si>
  <si>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</si>
  <si>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</si>
  <si>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</si>
  <si>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</si>
  <si>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</si>
  <si>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</si>
  <si>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</si>
  <si>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</si>
  <si>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</si>
  <si>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</si>
  <si>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</si>
  <si>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</si>
  <si>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</si>
  <si>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</si>
  <si>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</si>
  <si>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</si>
  <si>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</si>
  <si>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</si>
  <si>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</si>
  <si>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</si>
  <si>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</si>
  <si>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</si>
  <si>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</si>
  <si>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</si>
  <si>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</si>
  <si>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</si>
  <si>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</si>
  <si>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</si>
  <si>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</si>
  <si>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</si>
  <si>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</si>
  <si>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</si>
  <si>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</si>
  <si>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</si>
  <si>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</si>
  <si>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</si>
  <si>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</si>
  <si>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</si>
  <si>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</si>
  <si>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</si>
  <si>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</si>
  <si>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</si>
  <si>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</si>
  <si>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</si>
  <si>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</si>
  <si>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</si>
  <si>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</si>
  <si>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</si>
  <si>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</si>
  <si>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</si>
  <si>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</si>
  <si>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</si>
  <si>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</si>
  <si>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</si>
  <si>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</si>
  <si>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</si>
  <si>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</si>
  <si>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</si>
  <si>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</si>
  <si>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</si>
  <si>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</si>
  <si>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</si>
  <si>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</si>
  <si>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</si>
  <si>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</si>
  <si>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</si>
  <si>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</si>
  <si>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</si>
  <si>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</si>
  <si>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</si>
  <si>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</si>
  <si>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</si>
  <si>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</si>
  <si>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</si>
  <si>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</si>
  <si>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</si>
  <si>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</si>
  <si>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</si>
  <si>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</si>
  <si>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</si>
  <si>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</si>
  <si>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</si>
  <si>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</si>
  <si>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</si>
  <si>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</si>
  <si>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</si>
  <si>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</si>
  <si>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</si>
  <si>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</si>
  <si>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</si>
  <si>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</si>
  <si>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</si>
  <si>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</si>
  <si>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</si>
  <si>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</si>
  <si>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</si>
  <si>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</si>
  <si>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</si>
  <si>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</si>
  <si>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</si>
  <si>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</si>
  <si>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</si>
  <si>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</si>
  <si>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</si>
  <si>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</si>
  <si>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</si>
  <si>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</si>
  <si>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Follow-up inquiries for backup content scope will be institution/implementation specific.</t>
  </si>
  <si>
    <t>DATA-14</t>
  </si>
  <si>
    <t>DATA-15</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</si>
  <si>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</si>
  <si>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</si>
  <si>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</si>
  <si>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</si>
  <si>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</si>
  <si>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</si>
  <si>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</si>
  <si>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</si>
  <si>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</si>
  <si>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</si>
  <si>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</si>
  <si>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</si>
  <si>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</si>
  <si>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</si>
  <si>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</si>
  <si>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</si>
  <si>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</si>
  <si>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</si>
  <si>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</si>
  <si>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</si>
  <si>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</si>
  <si>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</si>
  <si>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</si>
  <si>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</si>
  <si>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</si>
  <si>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</si>
  <si>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</si>
  <si>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</si>
  <si>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</si>
  <si>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</si>
  <si>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</si>
  <si>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</si>
  <si>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</si>
  <si>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</si>
  <si>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</si>
  <si>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</si>
  <si>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</si>
  <si>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</si>
  <si>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</si>
  <si>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</si>
  <si>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</si>
  <si>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</si>
  <si>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</si>
  <si>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</si>
  <si>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</si>
  <si>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</si>
  <si>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</si>
  <si>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</si>
  <si>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</si>
  <si>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</si>
  <si>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</si>
  <si>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</si>
  <si>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</si>
  <si>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</si>
  <si>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</si>
  <si>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</si>
  <si>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</si>
  <si>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</si>
  <si>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</si>
  <si>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</si>
  <si>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</si>
  <si>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</si>
  <si>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</si>
  <si>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</si>
  <si>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</si>
  <si>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</si>
  <si>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</si>
  <si>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</si>
  <si>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</si>
  <si>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</si>
  <si>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</si>
  <si>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</si>
  <si>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</si>
  <si>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</si>
  <si>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</si>
  <si>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</si>
  <si>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</si>
  <si>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</si>
  <si>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</si>
  <si>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</si>
  <si>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</si>
  <si>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</si>
  <si>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</si>
  <si>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</si>
  <si>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</si>
  <si>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</si>
  <si>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</si>
  <si>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</si>
  <si>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</si>
  <si>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</si>
  <si>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</si>
  <si>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</si>
  <si>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</si>
  <si>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</si>
  <si>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</si>
  <si>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</si>
  <si>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</si>
  <si>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</si>
  <si>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</si>
  <si>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</si>
  <si>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</si>
  <si>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</si>
  <si>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</si>
  <si>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</si>
  <si>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</si>
  <si>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</si>
  <si>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</si>
  <si>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</si>
  <si>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</si>
  <si>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</si>
  <si>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</si>
  <si>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</si>
  <si>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</si>
  <si>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</si>
  <si>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</si>
  <si>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</si>
  <si>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</si>
  <si>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</si>
  <si>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</si>
  <si>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</si>
  <si>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</si>
  <si>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</si>
  <si>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</si>
  <si>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</si>
  <si>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</si>
  <si>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</si>
  <si>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</si>
  <si>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</si>
  <si>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</si>
  <si>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</si>
  <si>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</si>
  <si>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</si>
  <si>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</si>
  <si>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</si>
  <si>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</si>
  <si>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</si>
  <si>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</si>
  <si>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</si>
  <si>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</si>
  <si>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</si>
  <si>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</si>
  <si>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</si>
  <si>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</si>
  <si>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</si>
  <si>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</si>
  <si>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</si>
  <si>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</si>
  <si>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</si>
  <si>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</si>
  <si>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</si>
  <si>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</si>
  <si>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</si>
  <si>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</si>
  <si>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</si>
  <si>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</si>
  <si>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</si>
  <si>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</si>
  <si>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</si>
  <si>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</si>
  <si>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</si>
  <si>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</si>
  <si>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</si>
  <si>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</si>
  <si>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</si>
  <si>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</si>
  <si>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</si>
  <si>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</si>
  <si>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</si>
  <si>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</si>
  <si>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</si>
  <si>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</si>
  <si>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</si>
  <si>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</si>
  <si>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</si>
  <si>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</si>
  <si>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</si>
  <si>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</si>
  <si>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</si>
  <si>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</si>
  <si>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</si>
  <si>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</si>
  <si>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</si>
  <si>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</si>
  <si>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</si>
  <si>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</si>
  <si>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</si>
  <si>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</si>
  <si>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</si>
  <si>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</si>
  <si>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</si>
  <si>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</si>
  <si>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</si>
  <si>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</si>
  <si>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</si>
  <si>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</si>
  <si>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</si>
  <si>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</si>
  <si>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VULN-01</t>
  </si>
  <si>
    <t>Are your systems and applications regularly scanned externally for vulnerabilities?</t>
  </si>
  <si>
    <t>Describe any plans to implement external vulnerability scanning for your applications.</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</si>
  <si>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</si>
  <si>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</si>
  <si>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</si>
  <si>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</si>
  <si>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</si>
  <si>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</si>
  <si>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</si>
  <si>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</si>
  <si>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</si>
  <si>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</si>
  <si>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</si>
  <si>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</si>
  <si>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</si>
  <si>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</si>
  <si>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</si>
  <si>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</si>
  <si>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</si>
  <si>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</si>
  <si>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</si>
  <si>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</si>
  <si>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</si>
  <si>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</si>
  <si>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</si>
  <si>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</si>
  <si>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</si>
  <si>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</si>
  <si>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</si>
  <si>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</si>
  <si>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</si>
  <si>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</si>
  <si>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</si>
  <si>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</si>
  <si>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</si>
  <si>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</si>
  <si>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</si>
  <si>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</si>
  <si>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</si>
  <si>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</si>
  <si>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</si>
  <si>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</si>
  <si>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</si>
  <si>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</si>
  <si>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</si>
  <si>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</si>
  <si>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</si>
  <si>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</si>
  <si>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</si>
  <si>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</si>
  <si>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</si>
  <si>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</si>
  <si>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</si>
  <si>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</si>
  <si>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</si>
  <si>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</si>
  <si>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</si>
  <si>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</si>
  <si>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</si>
  <si>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</si>
  <si>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</si>
  <si>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</si>
  <si>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</si>
  <si>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</si>
  <si>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</si>
  <si>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</si>
  <si>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</si>
  <si>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</si>
  <si>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</si>
  <si>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</si>
  <si>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</si>
  <si>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</si>
  <si>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</si>
  <si>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</si>
  <si>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</si>
  <si>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</si>
  <si>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</si>
  <si>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</si>
  <si>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</si>
  <si>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</si>
  <si>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</si>
  <si>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</si>
  <si>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</si>
  <si>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</si>
  <si>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</si>
  <si>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</si>
  <si>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</si>
  <si>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</si>
  <si>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</si>
  <si>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</si>
  <si>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</si>
  <si>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</si>
  <si>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</si>
  <si>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</si>
  <si>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</si>
  <si>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</si>
  <si>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</si>
  <si>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</si>
  <si>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</si>
  <si>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</si>
  <si>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</si>
  <si>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</si>
  <si>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</si>
  <si>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</si>
  <si>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</si>
  <si>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</si>
  <si>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</si>
  <si>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</si>
  <si>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</si>
  <si>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</si>
  <si>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</si>
  <si>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</si>
  <si>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</si>
  <si>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</si>
  <si>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</si>
  <si>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</si>
  <si>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</si>
  <si>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</si>
  <si>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</si>
  <si>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</si>
  <si>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</si>
  <si>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</si>
  <si>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</si>
  <si>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</si>
  <si>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</si>
  <si>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</si>
  <si>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PCOM-02</t>
  </si>
  <si>
    <t>PCOM-03</t>
  </si>
  <si>
    <t>PCOM-04</t>
  </si>
  <si>
    <t>PDOC-01</t>
  </si>
  <si>
    <t>PDOC-02</t>
  </si>
  <si>
    <t>PDOC-03</t>
  </si>
  <si>
    <t>Does your employee onboarding and offboarding policy include training of employees on information security and data privacy?</t>
  </si>
  <si>
    <t>PTHP-01</t>
  </si>
  <si>
    <t>Provide a summary of your practices that assures that the third party will be subject to the appropriate standards regarding data privacy.</t>
  </si>
  <si>
    <t>PTHP-02</t>
  </si>
  <si>
    <t>PCHG-01</t>
  </si>
  <si>
    <t>Does your change management process include privacy review and approval?</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</si>
  <si>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</si>
  <si>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</si>
  <si>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</si>
  <si>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</si>
  <si>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</si>
  <si>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</si>
  <si>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PDAT-03</t>
  </si>
  <si>
    <t>PDAT-04</t>
  </si>
  <si>
    <t>PDAT-05</t>
  </si>
  <si>
    <t>PDAT-06</t>
  </si>
  <si>
    <t>PDAT-07</t>
  </si>
  <si>
    <t>Describe the tracking component and what is done with the information.</t>
  </si>
  <si>
    <t>PDAT-08</t>
  </si>
  <si>
    <t>PRPO-01</t>
  </si>
  <si>
    <t>Do you have a documented privacy management process?</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</si>
  <si>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</si>
  <si>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</si>
  <si>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</si>
  <si>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</si>
  <si>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</si>
  <si>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</si>
  <si>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PRPO-04</t>
  </si>
  <si>
    <t>Will you comply with the institution's policies regarding user privacy and data protection?</t>
  </si>
  <si>
    <t>PRPO-05</t>
  </si>
  <si>
    <t>Is your company subject to the laws and regulations of the institution's geographic region?</t>
  </si>
  <si>
    <t>PRPO-06</t>
  </si>
  <si>
    <t>PRPO-07</t>
  </si>
  <si>
    <t>Is privacy awareness training mandatory for all employees?</t>
  </si>
  <si>
    <t>Describe plans to require.</t>
  </si>
  <si>
    <t>PRPO-08</t>
  </si>
  <si>
    <t>Is AI privacy and ethics awareness/training required for all employees who work with AI?</t>
  </si>
  <si>
    <t>Describe plans to include AI training.</t>
  </si>
  <si>
    <t>PRPO-09</t>
  </si>
  <si>
    <t>PRPO-10</t>
  </si>
  <si>
    <t>Do you have a documented process for managing automated processing, including validations, monitoring, and data subject requests?</t>
  </si>
  <si>
    <t>PRPO-11</t>
  </si>
  <si>
    <t>Do you have a documented policy for sharing information with law enforcement?</t>
  </si>
  <si>
    <t>Provide a high-level overview of the policy or plans to implement a policy.</t>
  </si>
  <si>
    <t>PRPO-12</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</si>
  <si>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</si>
  <si>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</si>
  <si>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</si>
  <si>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</si>
  <si>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</si>
  <si>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</si>
  <si>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</si>
  <si>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</si>
  <si>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</si>
  <si>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</si>
  <si>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</si>
  <si>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</si>
  <si>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</si>
  <si>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</si>
  <si>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</si>
  <si>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</si>
  <si>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</si>
  <si>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</si>
  <si>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</si>
  <si>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</si>
  <si>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</si>
  <si>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</si>
  <si>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</si>
  <si>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</si>
  <si>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</si>
  <si>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</si>
  <si>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</si>
  <si>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</si>
  <si>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</si>
  <si>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</si>
  <si>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</si>
  <si>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</si>
  <si>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</si>
  <si>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AIQU-02</t>
  </si>
  <si>
    <t>AIGN-01</t>
  </si>
  <si>
    <t>AIGN-02</t>
  </si>
  <si>
    <t>AIGN-03</t>
  </si>
  <si>
    <t>AIGN-04</t>
  </si>
  <si>
    <t>AIGN-05</t>
  </si>
  <si>
    <t>AIPL-01</t>
  </si>
  <si>
    <t>AIPL-02</t>
  </si>
  <si>
    <t>AIPL-03</t>
  </si>
  <si>
    <t>AIPL-04</t>
  </si>
  <si>
    <t>AIPL-05</t>
  </si>
  <si>
    <t>AISC-01</t>
  </si>
  <si>
    <t>AISC-02</t>
  </si>
  <si>
    <t>AISC-03</t>
  </si>
  <si>
    <t>AISC-04</t>
  </si>
  <si>
    <t>AISC-05</t>
  </si>
  <si>
    <t>AIML-01</t>
  </si>
  <si>
    <t>AIML-02</t>
  </si>
  <si>
    <t>AIML-03</t>
  </si>
  <si>
    <t>Have you limited access to your ML training data to only staff with an explicit business need?</t>
  </si>
  <si>
    <t>AIML-04</t>
  </si>
  <si>
    <t>Is your ML training data monitored and audited?</t>
  </si>
  <si>
    <t>AIML-05</t>
  </si>
  <si>
    <t>AIML-06</t>
  </si>
  <si>
    <t>AIML-07</t>
  </si>
  <si>
    <t>Do you watermark your ML training data?</t>
  </si>
  <si>
    <t>AIML-08</t>
  </si>
  <si>
    <t>AILM-01</t>
  </si>
  <si>
    <t>AILM-02</t>
  </si>
  <si>
    <t>AILM-03</t>
  </si>
  <si>
    <t>AILM-04</t>
  </si>
  <si>
    <t>AILM-05</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</si>
  <si>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</si>
  <si>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</si>
  <si>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</si>
  <si>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</si>
  <si>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</si>
  <si>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</si>
  <si>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</si>
  <si>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</si>
  <si>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</si>
  <si>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</si>
  <si>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</si>
  <si>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</si>
  <si>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</si>
  <si>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</si>
  <si>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</si>
  <si>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</si>
  <si>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</si>
  <si>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</si>
  <si>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</si>
  <si>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</si>
  <si>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</si>
  <si>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</si>
  <si>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</si>
  <si>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</si>
  <si>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</si>
  <si>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</si>
  <si>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</si>
  <si>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</si>
  <si>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</si>
  <si>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</si>
  <si>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</si>
  <si>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</si>
  <si>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</si>
  <si>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</si>
  <si>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</si>
  <si>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</si>
  <si>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</si>
  <si>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</si>
  <si>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</si>
  <si>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</si>
  <si>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</si>
  <si>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</si>
  <si>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</si>
  <si>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</si>
  <si>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</si>
  <si>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</si>
  <si>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</si>
  <si>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</si>
  <si>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</si>
  <si>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</si>
  <si>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</si>
  <si>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</si>
  <si>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</si>
  <si>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</si>
  <si>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</si>
  <si>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</si>
  <si>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</si>
  <si>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</si>
  <si>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</si>
  <si>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</si>
  <si>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</si>
  <si>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</si>
  <si>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</si>
  <si>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</si>
  <si>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</si>
  <si>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</si>
  <si>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</si>
  <si>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</si>
  <si>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</si>
  <si>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</si>
  <si>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</si>
  <si>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</si>
  <si>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</si>
  <si>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</si>
  <si>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</si>
  <si>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</si>
  <si>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</si>
  <si>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</si>
  <si>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</si>
  <si>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</si>
  <si>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</si>
  <si>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</si>
  <si>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</si>
  <si>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</si>
  <si>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</si>
  <si>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</si>
  <si>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</si>
  <si>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</si>
  <si>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</si>
  <si>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</si>
  <si>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</si>
  <si>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</si>
  <si>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</si>
  <si>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</si>
  <si>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</si>
  <si>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</si>
  <si>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</si>
  <si>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</si>
  <si>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</si>
  <si>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</si>
  <si>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</si>
  <si>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</si>
  <si>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</si>
  <si>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</si>
  <si>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</si>
  <si>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</si>
  <si>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</si>
  <si>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</si>
  <si>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</si>
  <si>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</si>
  <si>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</si>
  <si>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</si>
  <si>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</si>
  <si>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</si>
  <si>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</si>
  <si>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</si>
  <si>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</si>
  <si>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</si>
  <si>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</si>
  <si>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</si>
  <si>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</si>
  <si>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</si>
  <si>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</si>
  <si>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</si>
  <si>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</si>
  <si>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</si>
  <si>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</si>
  <si>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</si>
  <si>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</si>
  <si>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</si>
  <si>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</si>
  <si>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</si>
  <si>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</si>
  <si>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</si>
  <si>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</si>
  <si>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</si>
  <si>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</si>
  <si>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</si>
  <si>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</si>
  <si>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</si>
  <si>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</si>
  <si>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</si>
  <si>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</si>
  <si>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</si>
  <si>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</si>
  <si>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</si>
  <si>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</si>
  <si>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</si>
  <si>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</si>
  <si>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</si>
  <si>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</si>
  <si>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</si>
  <si>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</si>
  <si>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</si>
  <si>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</si>
  <si>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</si>
  <si>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</si>
  <si>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</si>
  <si>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</si>
  <si>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</si>
  <si>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</si>
  <si>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</si>
  <si>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</si>
  <si>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</si>
  <si>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</si>
  <si>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</si>
  <si>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</si>
  <si>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</si>
  <si>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</si>
  <si>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</si>
  <si>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</si>
  <si>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</si>
  <si>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</si>
  <si>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</si>
  <si>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</si>
  <si>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</si>
  <si>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</si>
  <si>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</si>
  <si>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</si>
  <si>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</si>
  <si>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</si>
  <si>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</si>
  <si>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</si>
  <si>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</si>
  <si>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</si>
  <si>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</si>
  <si>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</si>
  <si>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</si>
  <si>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</si>
  <si>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</si>
  <si>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</si>
  <si>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</si>
  <si>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</si>
  <si>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</si>
  <si>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</si>
  <si>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</si>
  <si>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</si>
  <si>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</si>
  <si>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</si>
  <si>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</si>
  <si>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</si>
  <si>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</si>
  <si>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</si>
  <si>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</si>
  <si>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</si>
  <si>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</si>
  <si>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</si>
  <si>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</si>
  <si>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</si>
  <si>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</si>
  <si>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</si>
  <si>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</si>
  <si>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</si>
  <si>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</si>
  <si>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</si>
  <si>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</si>
  <si>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</si>
  <si>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</si>
  <si>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</si>
  <si>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</si>
  <si>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</si>
  <si>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</si>
  <si>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</si>
  <si>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</si>
  <si>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</si>
  <si>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</si>
  <si>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</si>
  <si>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</si>
  <si>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</si>
  <si>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</si>
  <si>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</si>
  <si>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</si>
  <si>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</si>
  <si>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</si>
  <si>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</si>
  <si>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</si>
  <si>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</si>
  <si>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</si>
  <si>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</si>
  <si>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</si>
  <si>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</si>
  <si>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</si>
  <si>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</si>
  <si>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</si>
  <si>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</si>
  <si>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</si>
  <si>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</si>
  <si>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</si>
  <si>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</si>
  <si>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</si>
  <si>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</si>
  <si>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</si>
  <si>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</si>
  <si>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</si>
  <si>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</si>
  <si>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</si>
  <si>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</si>
  <si>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</si>
  <si>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</si>
  <si>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</si>
  <si>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</si>
  <si>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</si>
  <si>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</si>
  <si>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</si>
  <si>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</si>
  <si>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</si>
  <si>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</si>
  <si>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</si>
  <si>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</si>
  <si>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</si>
  <si>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</si>
  <si>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</si>
  <si>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</si>
  <si>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</si>
  <si>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</si>
  <si>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</si>
  <si>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</si>
  <si>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</si>
  <si>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</si>
  <si>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</si>
  <si>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</si>
  <si>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</si>
  <si>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</si>
  <si>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</si>
  <si>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</si>
  <si>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</si>
  <si>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</si>
  <si>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</si>
  <si>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</si>
  <si>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</si>
  <si>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</si>
  <si>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</si>
  <si>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</si>
  <si>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</si>
  <si>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</si>
  <si>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</si>
  <si>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</si>
  <si>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</si>
  <si>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</si>
  <si>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</si>
  <si>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</si>
  <si>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</si>
  <si>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</si>
  <si>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</si>
  <si>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</si>
  <si>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</si>
  <si>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</si>
  <si>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</si>
  <si>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</si>
  <si>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</si>
  <si>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</si>
  <si>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</si>
  <si>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</si>
  <si>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</si>
  <si>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</si>
  <si>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</si>
  <si>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</si>
  <si>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</si>
  <si>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</si>
  <si>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</si>
  <si>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</si>
  <si>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</si>
  <si>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</si>
  <si>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</si>
  <si>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</si>
  <si>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</si>
  <si>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</si>
  <si>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</si>
  <si>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</si>
  <si>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</si>
  <si>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</si>
  <si>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</si>
  <si>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</si>
  <si>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</si>
  <si>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</si>
  <si>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</si>
  <si>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</si>
  <si>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</si>
  <si>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</si>
  <si>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</si>
  <si>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</si>
  <si>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</si>
  <si>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</si>
  <si>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</si>
  <si>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</si>
  <si>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</si>
  <si>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</si>
  <si>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</si>
  <si>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</si>
  <si>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</si>
  <si>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</si>
  <si>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</si>
  <si>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</si>
  <si>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</si>
  <si>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</si>
  <si>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</si>
  <si>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</si>
  <si>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</si>
  <si>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</si>
  <si>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</si>
  <si>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</si>
  <si>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</si>
  <si>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</si>
  <si>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</si>
  <si>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</si>
  <si>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</si>
  <si>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</si>
  <si>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</si>
  <si>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</si>
  <si>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</si>
  <si>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</si>
  <si>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</si>
  <si>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</si>
  <si>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</si>
  <si>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</si>
  <si>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</si>
  <si>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</si>
  <si>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</si>
  <si>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</si>
  <si>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</si>
  <si>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</si>
  <si>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</si>
  <si>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If sensitive data is introduced to your solution's AI model, can the data be removed from the AI model by request?*</t>
  </si>
  <si>
    <t>Is user input data used to influence your solution's AI model?*</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</si>
  <si>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</si>
  <si>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</si>
  <si>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</si>
  <si>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</si>
  <si>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</si>
  <si>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</si>
  <si>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</si>
  <si>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</si>
  <si>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</si>
  <si>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</si>
  <si>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</si>
  <si>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</si>
  <si>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</si>
  <si>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</si>
  <si>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</si>
  <si>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</si>
  <si>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</si>
  <si>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</si>
  <si>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</si>
  <si>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</si>
  <si>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</si>
  <si>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</si>
  <si>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</si>
  <si>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</si>
  <si>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</si>
  <si>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</si>
  <si>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</si>
  <si>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</si>
  <si>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</si>
  <si>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</si>
  <si>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</si>
  <si>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</si>
  <si>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</si>
  <si>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</si>
  <si>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</si>
  <si>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</si>
  <si>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</si>
  <si>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</si>
  <si>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</si>
  <si>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</si>
  <si>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</si>
  <si>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</si>
  <si>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</si>
  <si>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</si>
  <si>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</si>
  <si>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</si>
  <si>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</si>
  <si>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</si>
  <si>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</si>
  <si>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</si>
  <si>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</si>
  <si>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</si>
  <si>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</si>
  <si>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</si>
  <si>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</si>
  <si>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</si>
  <si>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</si>
  <si>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</si>
  <si>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</si>
  <si>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</si>
  <si>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</si>
  <si>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</si>
  <si>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</si>
  <si>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</si>
  <si>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</si>
  <si>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</si>
  <si>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</si>
  <si>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</si>
  <si>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</si>
  <si>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</si>
  <si>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</si>
  <si>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</si>
  <si>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</si>
  <si>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</si>
  <si>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</si>
  <si>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</si>
  <si>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</si>
  <si>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</si>
  <si>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</si>
  <si>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</si>
  <si>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</si>
  <si>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</si>
  <si>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</si>
  <si>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</si>
  <si>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</si>
  <si>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</si>
  <si>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</si>
  <si>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</si>
  <si>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</si>
  <si>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</si>
  <si>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</si>
  <si>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</si>
  <si>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</si>
  <si>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</si>
  <si>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</si>
  <si>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</si>
  <si>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</si>
  <si>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</si>
  <si>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</si>
  <si>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</si>
  <si>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</si>
  <si>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</si>
  <si>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</si>
  <si>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</si>
  <si>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</si>
  <si>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</si>
  <si>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</si>
  <si>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</si>
  <si>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</si>
  <si>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</si>
  <si>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</si>
  <si>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</si>
  <si>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</si>
  <si>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</si>
  <si>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</si>
  <si>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</si>
  <si>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</si>
  <si>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</si>
  <si>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</si>
  <si>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</si>
  <si>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</si>
  <si>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</si>
  <si>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</si>
  <si>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</si>
  <si>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</si>
  <si>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</si>
  <si>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</si>
  <si>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</si>
  <si>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</si>
  <si>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</si>
  <si>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</si>
  <si>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</si>
  <si>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</si>
  <si>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</si>
  <si>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</si>
  <si>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</si>
  <si>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</si>
  <si>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</si>
  <si>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</si>
  <si>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</si>
  <si>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</si>
  <si>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</si>
  <si>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</si>
  <si>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</si>
  <si>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</si>
  <si>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</si>
  <si>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</si>
  <si>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</si>
  <si>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</si>
  <si>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</si>
  <si>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</si>
  <si>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</si>
  <si>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</si>
  <si>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</si>
  <si>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</si>
  <si>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</si>
  <si>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</si>
  <si>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</si>
  <si>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</si>
  <si>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</si>
  <si>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</si>
  <si>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</si>
  <si>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</si>
  <si>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</si>
  <si>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</si>
  <si>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</si>
  <si>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</si>
  <si>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</si>
  <si>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</si>
  <si>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</si>
  <si>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</si>
  <si>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</si>
  <si>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</si>
  <si>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</si>
  <si>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</si>
  <si>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</si>
  <si>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</si>
  <si>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</si>
  <si>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</si>
  <si>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</si>
  <si>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</si>
  <si>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</si>
  <si>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</si>
  <si>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</si>
  <si>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</si>
  <si>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</si>
  <si>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</si>
  <si>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</si>
  <si>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</si>
  <si>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</si>
  <si>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</si>
  <si>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</si>
  <si>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</si>
  <si>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</si>
  <si>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</si>
  <si>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</si>
  <si>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</si>
  <si>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</si>
  <si>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</si>
  <si>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</si>
  <si>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</si>
  <si>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</si>
  <si>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</si>
  <si>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</si>
  <si>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</si>
  <si>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</si>
  <si>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</si>
  <si>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</si>
  <si>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</si>
  <si>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</si>
  <si>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</si>
  <si>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</si>
  <si>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</si>
  <si>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</si>
  <si>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</si>
  <si>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</si>
  <si>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</si>
  <si>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</si>
  <si>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</si>
  <si>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</si>
  <si>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</si>
  <si>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</si>
  <si>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</si>
  <si>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</si>
  <si>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</si>
  <si>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</si>
  <si>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</si>
  <si>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</si>
  <si>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</si>
  <si>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</si>
  <si>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</si>
  <si>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</si>
  <si>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</si>
  <si>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</si>
  <si>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</si>
  <si>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</si>
  <si>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</si>
  <si>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</si>
  <si>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</si>
  <si>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</si>
  <si>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</si>
  <si>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</si>
  <si>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</si>
  <si>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</si>
  <si>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</si>
  <si>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</si>
  <si>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</si>
  <si>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</si>
  <si>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</si>
  <si>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</si>
  <si>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</si>
  <si>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</si>
  <si>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</si>
  <si>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</si>
  <si>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</si>
  <si>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</si>
  <si>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</si>
  <si>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</si>
  <si>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</si>
  <si>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</si>
  <si>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</si>
  <si>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</si>
  <si>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</si>
  <si>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</si>
  <si>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</si>
  <si>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</si>
  <si>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</si>
  <si>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</si>
  <si>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</si>
  <si>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</si>
  <si>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</si>
  <si>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</si>
  <si>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</si>
  <si>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</si>
  <si>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</si>
  <si>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</si>
  <si>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</si>
  <si>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</si>
  <si>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</si>
  <si>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</si>
  <si>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</si>
  <si>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</si>
  <si>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</si>
  <si>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</si>
  <si>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</si>
  <si>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</si>
  <si>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</si>
  <si>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</si>
  <si>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</si>
  <si>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</si>
  <si>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</si>
  <si>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</si>
  <si>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</si>
  <si>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</si>
  <si>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</si>
  <si>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</si>
  <si>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</si>
  <si>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</si>
  <si>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</si>
  <si>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</si>
  <si>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</si>
  <si>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</si>
  <si>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</si>
  <si>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</si>
  <si>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</si>
  <si>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</si>
  <si>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</si>
  <si>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</si>
  <si>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</si>
  <si>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</si>
  <si>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</si>
  <si>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</si>
  <si>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</si>
  <si>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</si>
  <si>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</si>
  <si>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</si>
  <si>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</si>
  <si>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</si>
  <si>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</si>
  <si>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</si>
  <si>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</si>
  <si>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</si>
  <si>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</si>
  <si>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</si>
  <si>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</si>
  <si>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</si>
  <si>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</si>
  <si>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</si>
  <si>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</si>
  <si>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</si>
  <si>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</si>
  <si>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</si>
  <si>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</si>
  <si>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</si>
  <si>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</si>
  <si>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</si>
  <si>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</si>
  <si>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</si>
  <si>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</si>
  <si>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</si>
  <si>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</si>
  <si>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</si>
  <si>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</si>
  <si>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</si>
  <si>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</si>
  <si>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</si>
  <si>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This question does not apply.</t>
  </si>
  <si>
    <t>FERPA-related data includes any data maintained by (or on behalf of) the institution that is directly related to an identifiable student.</t>
  </si>
  <si>
    <t>Provide documentation on the types of FERPA data you process and for what purpose, including data unrelated to service delivery such as marketing.</t>
  </si>
  <si>
    <t>This question will help the institution gain an understanding of the types of data processed by this product or service.</t>
  </si>
  <si>
    <t>Will data be re-disclosed and/or used for any purpose other than directly providing the service, including quality assurance or marketing?</t>
  </si>
  <si>
    <t>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</si>
  <si>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Provide documentation of any processes or policies that address compliance with GDPR and/or PIPL as appropriate.</t>
  </si>
  <si>
    <t>Provide documentation of any processes or policies that address compliance with applicable state laws.</t>
  </si>
  <si>
    <t>Identify any applicable regulations and provide documentation of any processes or policies that address compliance with each.</t>
  </si>
  <si>
    <t>If multiple notices are implicated, provide all that apply. If any other documents are incorporated by reference, provide them as well.</t>
  </si>
  <si>
    <t>Please provide details as to the nature of the breach and the remediation conducted.</t>
  </si>
  <si>
    <t>Share any additional details that would help data privacy analysts assess your solution.</t>
  </si>
  <si>
    <t>Have you had any violations of your internal privacy policies or violations of applicable privacy law in the past 36 months?</t>
  </si>
  <si>
    <t xml:space="preserve">Provide documentation about the nature of the violation(s) and any remediative action taken.
</t>
  </si>
  <si>
    <t>This question solicits information about internal privacy policy violations and/or violations of applicable privacy law in the past three years.</t>
  </si>
  <si>
    <t>This can include another office, such as information security, dedicated to privacy protection.</t>
  </si>
  <si>
    <t>Describe who is responsible for data privacy, including department, size, talents, resources, etc.</t>
  </si>
  <si>
    <t>Describe your data privacy office, including size, talents, resources, etc.</t>
  </si>
  <si>
    <t>Any solution provider processing protected student data should have resources/staff dedicated to the protection of the data.</t>
  </si>
  <si>
    <t>SOC 2 Type II audits can be conducted for any or all of five trust principles (confidentiality, integrity, availability, security, and privacy). Answer "yes" if your audit included the privacy principle.</t>
  </si>
  <si>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</si>
  <si>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Please indicate whether your organization will allow clients to review current SOC 2 Type II reports and, if so, how the reports will be made available in a timely manner.</t>
  </si>
  <si>
    <t>Please explain why this does not apply to your organization, product or service.</t>
  </si>
  <si>
    <t>This is specifically asking for the Privacy Trust Service Principle, which is not always included in a SOC 2 audit.</t>
  </si>
  <si>
    <t>Standard privacy frameworks help organizations enhance data protection, mitigate privacy risks, and demonstrate compliance with appropriate industry and regulatory standards. This is particularly important when providing services in different jurisdictions.</t>
  </si>
  <si>
    <t>Please provide any plans to conform with one or more of the industry-standard frameworks, including anticipated timelines, and indicate which framework(s) will be used.</t>
  </si>
  <si>
    <t>Indicate which framework(s) are followed; provide documentation on how your organization conforms to your chosen framework(s) and indicate current certification levels, where appropriate.</t>
  </si>
  <si>
    <t>Conformance with industry privacy frameworks can demonstrate an organization's privacy posture and can provide clients a sense of comfort as to the organization's commitment to protection of personal data.</t>
  </si>
  <si>
    <t>If the organization relies on more than one framework or only on portions of a framework, has this been mapped to the Security Controls Framework? If so, please provide a copy of the mapping used.</t>
  </si>
  <si>
    <t>Please provide any plans to develop and implement appropriate employee training as part of onboarding and offboarding.
If no plans currently exist, please provide information on any compensating measures your organization takes to address this issue.</t>
  </si>
  <si>
    <t>Provide an overview of your organization's relevant onboarding/offboarding policy and employee training on information security and privacy.</t>
  </si>
  <si>
    <t>If training is provided to specific employee groups only, please provide information as to which groups and an overview of the training for each group.</t>
  </si>
  <si>
    <t>Inclusion of language in contractual agreements ensures third parties are aware of and have agreed to their obligations to maintain standards and comply with all regulatory requirements in regards to protection of personal data they handle on behalf of your organization.</t>
  </si>
  <si>
    <t>State your plans to ensure appropriate language is included in new and renewed contracts. State how your organization ensures that third parties maintain standards and comply with all regulatory requirements without contractual agreements to do so.</t>
  </si>
  <si>
    <t>Provide a summary of the contractual language used and your processes for ensuring appropriate language is regularly reviewed and is included in both new and renewed agreements.</t>
  </si>
  <si>
    <t>Inclusion of language in contractual agreements ensures third parties are aware of and have agreed to their obligations to maintain standards and comply with all regulatory requirements in regards to protection of personal data they handle on behalf of the organization.</t>
  </si>
  <si>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</si>
  <si>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State your plans to perform data privacy assessments of third parties, including anticipated timelines and remediations if existing third parties cannot maintain or ensure privacy and security of client data entrusted to your organization.</t>
  </si>
  <si>
    <t>The organization providing a product or service cannot reasonably claim it appropriately protects privacy of information entrusted to it if it relies on third parties or subprocessors that do not likewise meet or exceed the claimed levels of protection.</t>
  </si>
  <si>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</si>
  <si>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The change management process minimizes disruption and maximizes benefits and should contain a privacy review process.</t>
  </si>
  <si>
    <t>Please describe your process for privacy review.</t>
  </si>
  <si>
    <t>It is important that change management not overlook any privacy considerations.</t>
  </si>
  <si>
    <t>If the answer is yes, describe the process; if the answer is no, describe plans to implement.</t>
  </si>
  <si>
    <t>Policy and procedure should include specific steps to take in the process of mitigating privacy risks.</t>
  </si>
  <si>
    <t>Please provide an overview of privacy risk mitigation.</t>
  </si>
  <si>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</si>
  <si>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Describe which demographic information you handle and the source of the requirements, if applicable.</t>
  </si>
  <si>
    <t>This data can be included in data sets that are deidentified but is sensitive data that could be reidentified if paired with other data points.</t>
  </si>
  <si>
    <t>Because of the nature of such data, it is important to have a full understanding of how the data is used and protected.</t>
  </si>
  <si>
    <t>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</si>
  <si>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</si>
  <si>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Briefly summarize your use of such information and the protection thereof.</t>
  </si>
  <si>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</si>
  <si>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</si>
  <si>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Device information can be captured for a variety of reasons, from analytics to marketing to network management and security. It is important to know the details in order to be clear on the privacy implications.</t>
  </si>
  <si>
    <t>Describe what information you collect and the reason for collecting it.</t>
  </si>
  <si>
    <t>This question can clarify whether there are any indirect identifiers that don't appear to be readily identifiable but that could be identifiable in the event of unauthorized access or use.</t>
  </si>
  <si>
    <t>Web tracking can be used to identify users via their IP address, login information, browser information, etc.</t>
  </si>
  <si>
    <t>Accessing institutional data may be necessary for legitimate business purposes.</t>
  </si>
  <si>
    <t>Institutional data may be sensitive in nature and should only be accessed for legitimate business purposes.</t>
  </si>
  <si>
    <t>If no, why not? Are there plans for this to be implemented and, if so, when?</t>
  </si>
  <si>
    <t>Personal data that is handled improperly or against law/regulation can have significant negative impact.</t>
  </si>
  <si>
    <t>Are there plans to implement? If so, when will this be completed?</t>
  </si>
  <si>
    <t>It's important for customers to know their data will remain private after being shared with the vendor.</t>
  </si>
  <si>
    <t>Are your internal privacy practices and obligations documented in internal corporate privacy policy/policies? Does the internal privacy policy explain your organization's policies and practices regarding collection of personal information and other data about individuals?</t>
  </si>
  <si>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</si>
  <si>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Building privacy principles into the product lifecycle (e.g., privacy-by-design) can help ease the privacy management process.</t>
  </si>
  <si>
    <t>State how quickly the institution will be notified once a breach is identified, in addition to notifying the necessary governmental agencies based on the extent of the breach.</t>
  </si>
  <si>
    <t>It's very important to get out in front of the impact from a system breach. Once a breach has been confirmed, timely communication is imperative.</t>
  </si>
  <si>
    <t>This is usually dictated by the government agency for the geographic region and, possibly, by your cybersecurity insurance carrier.</t>
  </si>
  <si>
    <t>These policies may include specific user consent practices, data classification standards, and handling of sensitive information.</t>
  </si>
  <si>
    <t>Explain the legal or operational reasons and offer an alternative policy.</t>
  </si>
  <si>
    <t>This question can help gauge a solution provider's willingness to align with institutional data privacy and protection policies before the contracting stage.</t>
  </si>
  <si>
    <t>Indicates whether your organization is legally bound by state, federal, or local laws where the institution operates.</t>
  </si>
  <si>
    <t>Explain why your operations fall outside the region’s legal scope and how you nevertheless ensure regulatory compliance.</t>
  </si>
  <si>
    <t>This question identifies whether the institution and solution provider are beholden to the same laws. If not, this should be covered in the contract.</t>
  </si>
  <si>
    <t>Which laws apply to your operations in institution's region? Where is institutional data processed or stored? Provide a link or document summarizing your compliance stance.</t>
  </si>
  <si>
    <t>Privacy awareness/training refers to the ongoing education provided to individuals who handle sensitive data to ensure they understand privacy obligations, data protection principles, and regulatory requirements (e.g., FERPA, HIPAA, GDPR).</t>
  </si>
  <si>
    <t>Describe plans to include data privacy training or why you have determined it is not needed.</t>
  </si>
  <si>
    <t>Briefly describe what is included in the training.</t>
  </si>
  <si>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</si>
  <si>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Your response should include who must complete the training.</t>
  </si>
  <si>
    <t>This question serves a critical purpose in evaluating a vendor or institution’s commitment to data protection, risk mitigation, and regulatory compliance.</t>
  </si>
  <si>
    <t>This question helps assess whether privacy is treated as an organizational responsibility and whether the institution enforces consistent practices to reduce human risk factors.</t>
  </si>
  <si>
    <t>This question is intended to assess whether an institution or vendor is proactively managing the risks, responsibilities, and ethical implications of AI use, especially as it relates to sensitive data, autonomy, and fairness.</t>
  </si>
  <si>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</si>
  <si>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Examples of such automated decisions could include automatically denying or approving user access requests, flagging or blocking transactions based on risk scores, or AI-driven decisions that affect user outcomes (e.g., eligibility, grading, pricing).</t>
  </si>
  <si>
    <t>Provide information on which decisions are automated and why.</t>
  </si>
  <si>
    <t>This question identifies potential privacy, ethical, security, and compliance risks that may arise from fully automated systems, especially those that affect individuals or their data.</t>
  </si>
  <si>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</si>
  <si>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Describe plans to implement processes in the future.</t>
  </si>
  <si>
    <t>Briefly describe processes.</t>
  </si>
  <si>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</si>
  <si>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Explain any plans to develop a policy. If no plans exist, explain why not.</t>
  </si>
  <si>
    <t>Do you share any institutional data with law enforcement without a valid warrant or subpoena?*</t>
  </si>
  <si>
    <t>Describe how you ensure this does not occur.</t>
  </si>
  <si>
    <t>Describe the circumstances in which you share with law enforcement.</t>
  </si>
  <si>
    <t>Provide an overview of your incident response team membership and its charge, highlighting the privacy analyst/officer.</t>
  </si>
  <si>
    <t>Explain why not</t>
  </si>
  <si>
    <t>Provide the incident response team membership and charge.</t>
  </si>
  <si>
    <t>Having a privacy analyst/officer on an incident response team can help the company more quickly identify a breach and comply with applicable notification laws.</t>
  </si>
  <si>
    <t>See GDPR Chapter 1, Art. 4, for definitions.</t>
  </si>
  <si>
    <t>Understanding whether the vendor processes data in Europe may help with institutional GDPR compliance.</t>
  </si>
  <si>
    <t>If institution's intended use includes targeting of data subjects in EEA/UK and if vendor marks "no," institution might want to follow up to clarify data collected.</t>
  </si>
  <si>
    <t>See GDPR Chapter 4, Section 4, for DPO information.</t>
  </si>
  <si>
    <t>Vendors targeting services in the EEA/UK should have GDPR-compliant policies and procedures.</t>
  </si>
  <si>
    <t>See GDPR Chapter 5, Art. 46, for SCC information.</t>
  </si>
  <si>
    <t>Vendors targeting services in the EEA/UK should have the ability to agree to the SCCs.</t>
  </si>
  <si>
    <t>See PIPL Chapter 1 for definitions.</t>
  </si>
  <si>
    <t>Understanding whether the vendor processes data in China may help with institutional PIPL compliance.</t>
  </si>
  <si>
    <t>If institution's intended use includes targeting of data subjects in China and if vendor marks "no," institution might want to follow up to clarify data collected.</t>
  </si>
  <si>
    <t>See PIPL Chapter 5 for requirements.</t>
  </si>
  <si>
    <t>Vendors targeting services in China should have the ability to comply with PIPL requirements.</t>
  </si>
  <si>
    <t>Provide timeline for this or reason not to perform.</t>
  </si>
  <si>
    <t>Provide copy, link, or summary overview.</t>
  </si>
  <si>
    <t>Provide link or copy.</t>
  </si>
  <si>
    <t>How do you inform users of changes to the policy?</t>
  </si>
  <si>
    <t>This includes quality assurance, marketing and advertising, etc.</t>
  </si>
  <si>
    <t>Describe purposes not included in an agreement with the institution.</t>
  </si>
  <si>
    <t>Briefly outline data retention policies that do not align with regulations.</t>
  </si>
  <si>
    <t>Data minimization is a basic privacy principle, and it is important to know whether the solution provider is keeping data longer than necessary and introducing a significant privacy risk.</t>
  </si>
  <si>
    <t>Provide a brief overview of processes or procedures to handle privacy-related complaints.</t>
  </si>
  <si>
    <t>Briefly describe method used to mask data.</t>
  </si>
  <si>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</si>
  <si>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Describe the reason for using data beyond the agreed purpose.</t>
  </si>
  <si>
    <t>Provide evidence of existing processes or policies. The internal privacy policy should explain your organization's policies and practices regarding the collection of personal information and other data about individuals.</t>
  </si>
  <si>
    <t>Briefly outline relevant processes.</t>
  </si>
  <si>
    <t>Provide documentation or explanation of the process to review code. If none exists, explain why.</t>
  </si>
  <si>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</si>
  <si>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Review the vendor’s explanation for completeness and alignment with institutional data governance policies. Follow up on vague or incomplete answers. If AI use is planned, ask them to note the expected scope.</t>
  </si>
  <si>
    <t>Describe how your service uses AI to process institutional data. Include the types of data involved, the purpose of AI usage, and any decision-making roles AI plays.</t>
  </si>
  <si>
    <t>Ask for documentation or a summary of how AI models are developed or used, including training data sources and whether outputs are reviewed by humans.</t>
  </si>
  <si>
    <t>Evaluate the vendor's data retention practices for compliance with institutional policies. Request clarification on retention periods and data security if needed.</t>
  </si>
  <si>
    <t>Specify what data is retained, for how long, and how it is protected.</t>
  </si>
  <si>
    <t>This question assesses whether institutional data is stored or retained during AI processing, which may have implications for data security, retention policies, and regulatory compliance.</t>
  </si>
  <si>
    <t>Ask for retention schedules, anonymization steps, and whether storage is temporary or permanent. Request a data flow diagram if available.</t>
  </si>
  <si>
    <t>Explain the absence of agreements and indicate whether any are under development or negotiation.</t>
  </si>
  <si>
    <t>List all subprocessors and describe the agreements in place regarding AI and data protection.</t>
  </si>
  <si>
    <t>It's important to ensure that third-party vendors or subprocessors involved in AI processing are contractually bound to protect institutional data and comply with privacy standards.</t>
  </si>
  <si>
    <t>Request copies or summaries of data protection agreements with subprocessors. Ask whether subprocessors are listed publicly and how they are vetted.</t>
  </si>
  <si>
    <t>Confirm whether third-party AI use occurs. Ensure that oversight and contractual protections are in place. Clarify any unclear relationships.</t>
  </si>
  <si>
    <t>Identify third-party AI processors and describe their role and safeguards.</t>
  </si>
  <si>
    <t>This question identifies whether institutional data is shared with or processed by third parties that use AI, which may introduce additional privacy or ethical considerations.</t>
  </si>
  <si>
    <t>Ask for a list of third parties involved in AI processing and their roles. Inquire about oversight mechanisms and whether data is shared across jurisdictions.</t>
  </si>
  <si>
    <t>Provide names of services used and license types. Note whether open-source or experimental tools are used.</t>
  </si>
  <si>
    <t>In most cases, only enterprise licenses allow for an organization to customize what data is collected and how it is used. Free licenses to AI tools could introduce a risk to data.</t>
  </si>
  <si>
    <t>Request proof of licensing or vendor agreements for AI tools. Ask whether open-source or beta tools are used and how they are evaluated for risk.</t>
  </si>
  <si>
    <t>Provide detailed response to the type of data needed for the AI service to function appropriately, the sources of the data, and whether any data shared with the AI service comes from data sources outside the institution.</t>
  </si>
  <si>
    <t>Use of AI services and tools runs a risk of being supported by bad batches or databanks of information. Additionally, harmful bias and other data-quality issues can affect AI system trustworthiness, which could lead to negative impacts.</t>
  </si>
  <si>
    <t>Explain any data minimization processes used to exclude institutional data from AI algorithm or training, etc.</t>
  </si>
  <si>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</si>
  <si>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Provide the language used for a user to opt-out or consent to the use of AI</t>
  </si>
  <si>
    <t>Does your application require access to location or GPS data?*</t>
  </si>
  <si>
    <t>Are ownership rights to all data, inputs, outputs, and metadata retained even through a provider acquisition or bankruptcy event?*</t>
  </si>
  <si>
    <t>Are you offering a cloud-based product?</t>
  </si>
  <si>
    <t>If you are only offering a service, or are offering a product that is not cloud-based, answer "no".</t>
  </si>
  <si>
    <t>Based on the response to AIQU-01, this question does not apply to this product or service.</t>
  </si>
  <si>
    <t>Based on the response to AIQU-02, this question does not apply to this product or service.</t>
  </si>
  <si>
    <t>Answer "yes" even if you do not create your own machine learning solutions, and answer the questions as they apply to your contractual relationship with the third party you utilize.</t>
  </si>
  <si>
    <t>DO complete the Machine Learning section (AIML)</t>
  </si>
  <si>
    <t>DO NOT complete the Machine Learning section (AIML)</t>
  </si>
  <si>
    <t>Answer "yes" even if you do not train your own LLM models, and answer the questions as they apply to your contractual relationship with the third party you utilize.</t>
  </si>
  <si>
    <t>DO complete the Large Language Model section (AILM)</t>
  </si>
  <si>
    <t>DO NOT complete the Large Language Model section (AILM)</t>
  </si>
  <si>
    <t>Examples include NIST AI RMF, OWASP Top 10, RAFT, and MITRE ATLAS.</t>
  </si>
  <si>
    <t>Provide the AI risk framework, model, or methodology used.</t>
  </si>
  <si>
    <t>Describe your current AI risk management strategy. Provide a timeline for implementation of an AI risk framework, model, or methodology.</t>
  </si>
  <si>
    <t>To ensure the vendor has proactive governance and has a defined, documented risk management strategy that is aligned with responsible AI.</t>
  </si>
  <si>
    <t>Can the AI risk model or framework in use be shared? How often is it reviewed and updated? If an AI framework is not in use, what practices are currently used to address AI risks?</t>
  </si>
  <si>
    <t>Describe the level of AI feature control at the institutional and user level.</t>
  </si>
  <si>
    <t>Provide alternate workflows to disable AI features. Describe plans to include control of AI features.</t>
  </si>
  <si>
    <t>To verify whether customers have control over AI features and can opt out when AI is not desired or creates compliance concerns.</t>
  </si>
  <si>
    <t>How easy is it to disable/enable AI features?</t>
  </si>
  <si>
    <t>Explain what alternative responsible AI awareness activities are in place, including whether future training is planned.</t>
  </si>
  <si>
    <t>To confirm that staff are educated on ethical AI principles, data stewardship, bias mitigation, and compliance, ensuring responsible use and support for customers.</t>
  </si>
  <si>
    <t>Clarify the structure and enforcement of training supports transparency and accountability in AI-related operations.</t>
  </si>
  <si>
    <t>To help institutions understand the scope, functionality, and intended use cases of the AI feature(s) and evaluate whether its capabilities align with institutional needs and risk tolerance.</t>
  </si>
  <si>
    <t>Can documentation of supported AI functions, limitations, and safeguards be provided?</t>
  </si>
  <si>
    <t>Can you provide examples of data loss prevention (DLP) features? Where are these DLP solutions implemented? Are these DLP features customizable?</t>
  </si>
  <si>
    <t>Describe the steps your developers take to manage AI risks. Include a timeline for implementing policy and procedures for managing AI specific risks.</t>
  </si>
  <si>
    <t>To ensure that the vendor has established a mature AI governance framework, is prepared to manage the complex and evolving risks of AI, and is not likely to transfer that risk directly to customers.</t>
  </si>
  <si>
    <t>Given that a lack of formal governance can expose our institution to significant legal and reputational risks, how can you assure us that partnering with you will not transfer these liabilities to our organization?</t>
  </si>
  <si>
    <t>Provide the standard or framework used to identify and measure AI risk.</t>
  </si>
  <si>
    <t>Provide a timeline for performing an AI specific risk assessment. Describe your plan for identifying and measuring AI risk in the future.</t>
  </si>
  <si>
    <t>To help an organization verify that the vendor has a mature, proactive risk management framework in place, which is essential to protect the organization from the legal, financial, and reputational liabilities that can arise from a poorly governed AI system.</t>
  </si>
  <si>
    <t>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t>
  </si>
  <si>
    <t>Provide documentation on how to disable AI features. Include a time estimate for the time between disabling the feature and when the feature is inaccessible to users.</t>
  </si>
  <si>
    <t>The ability to disable/enable AI features is essential for containing an incident and preventing a security or ethical failure.</t>
  </si>
  <si>
    <t>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t>
  </si>
  <si>
    <t>Provide documentation on how to enable AI features. Include a time estimate for the time between enabling the feature and when the feature is accessible to users.</t>
  </si>
  <si>
    <t>This helps an organization create a business continuity plan and incident recovery plan.</t>
  </si>
  <si>
    <t>Responsible AI development per NIST AI RMF, page 25.</t>
  </si>
  <si>
    <t>Describe your plan and timeline for implementing technical and procedural processes to mitigate negative impacts of AI, as defined by the NIST AI RMF.</t>
  </si>
  <si>
    <t>This question helps maximize the value of the AI feature(s) while minimizing the negative impacts of AI.</t>
  </si>
  <si>
    <t>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t>
  </si>
  <si>
    <t>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t>
  </si>
  <si>
    <t>Describe how the AI model supports data deletion or unlearning and whether it is manual or automated; include retention timelines, limitations, and how requests are handled. Reference compliance with FERPA, GDPR Article 17, and state privacy laws.</t>
  </si>
  <si>
    <t>If data removal or unlearning is not supported, explain why and describe compensating controls (e.g., filtering, short-term memory, differential privacy). Clarify how sensitive data is managed, and note any future plans to support deletion requests.</t>
  </si>
  <si>
    <t>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t>
  </si>
  <si>
    <t>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t>
  </si>
  <si>
    <t>Please answer based on whether your solution uses user input data (e.g., prompts, uploads, queries) to fine-tune, train, or otherwise influence the behavior of your AI model. Consider any use of user data for model improvement, personalization, or aggregated learning.</t>
  </si>
  <si>
    <t>Describe whether input data is used for personalization, training, or continuous learning. Indicate whether, if data is anonymized, institutions are notified or can opt out, and describe how use aligns with FERPA, GDPR, and state laws.</t>
  </si>
  <si>
    <t>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t>
  </si>
  <si>
    <t>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t>
  </si>
  <si>
    <t>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t>
  </si>
  <si>
    <t>Please answer based on whether your AI features generate audit logs that record user identity, timestamp, and actions taken. Include log retention, immutability, access for administrators or auditors, and how logs support compliance and incident response.</t>
  </si>
  <si>
    <t>Describe what audit logs capture, how long they are retained, whether they are immutable, and how they support audits and oversight.</t>
  </si>
  <si>
    <t>If audit logging is not available, explain why and describe alternate controls or planned timelines to support monitoring, incident response, and compliance.</t>
  </si>
  <si>
    <t>This question helps institutions confirm whether AI features can be audited for user activity, data use, and system behavior. Audit logging supports regulatory compliance, incident response, and transparency in environments handling sensitive or regulated data.</t>
  </si>
  <si>
    <t>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t>
  </si>
  <si>
    <t>Please describe how your solution validates user inputs, including detection of anomalies, malicious inputs, and sensitive data. Indicate where validation occurs and how it supports security and compliance.</t>
  </si>
  <si>
    <t>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t>
  </si>
  <si>
    <t>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t>
  </si>
  <si>
    <t>Describe your use of SAST, SBOM, and monitoring of third-party AI components, and how you address vulnerabilities in line with NIST and state requirements</t>
  </si>
  <si>
    <t>If supply chain risk planning is not in place, explain why and note any compensating controls or future plans.</t>
  </si>
  <si>
    <t>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t>
  </si>
  <si>
    <t>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t>
  </si>
  <si>
    <t>Please answer based on whether training data is kept separate from production data to protect institutional information. Include how organizational data is segregated, anonymized, or excluded from training, and state whether institutions can opt out of data use for model improvement.</t>
  </si>
  <si>
    <t>Describe how training data is separated from production data, including anonymization, segregation controls, or exclusions. Indicate whether institutions can opt out of data being used in training.</t>
  </si>
  <si>
    <t>If data separation is not in place, explain why and describe compensating controls to protect institutional data from being used in training. Include whether opt-out options are available or planned.</t>
  </si>
  <si>
    <t>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t>
  </si>
  <si>
    <t>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t>
  </si>
  <si>
    <t>Describe the process used to authenticate and verify ML model feedback. Include how you detect and mitigate attempts to introduce model skewing, poisoning, or date/phrase attacks.</t>
  </si>
  <si>
    <t>Explain why the ML model's feedback is not currently authenticated or verified.</t>
  </si>
  <si>
    <t>Verifying ML model feedback helps prevent skewing attacks that could distort predictions or reduce reliability.</t>
  </si>
  <si>
    <t>Understand whether any other controls or processes are in place that would mitigate the risk of the vendor not doing the authentication or verification. How does the vendor perform trigger-sweep evaluations?</t>
  </si>
  <si>
    <t>Explain why the data is not vetted, validated, or verified. Include any future plans to implement this process, and describe any current controls that serve as substitutes for formal vetting and validation.</t>
  </si>
  <si>
    <t>This process can reduce the risk of errors or bias, as well as poor data quality undermining the model's accuracy and integrity.</t>
  </si>
  <si>
    <t>What other controls are in place as a substitute to this process? If not all steps are complete, what part of the process is currently being done?</t>
  </si>
  <si>
    <t>Describe the current process for how training data is monitored for any anomalies and audited to detect any data tampering.</t>
  </si>
  <si>
    <t>Explain why training data is not currently monitored or audited, and describe any alternative safeguards in place or future plans to implement monitoring and auditing.</t>
  </si>
  <si>
    <t>Training data can be targeted by attackers to influence the ML model’s behavior in harmful ways.</t>
  </si>
  <si>
    <t>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t>
  </si>
  <si>
    <t>Include what roles at your organization have the ability to view or modify ML training data.</t>
  </si>
  <si>
    <t>Explain why access to training data is not restricted to staff with an explicit business need. Include any existing policies or controls that currently govern data access.</t>
  </si>
  <si>
    <t>Describe the defensive strategies in place to protect ML features and how they are tested for effectiveness.</t>
  </si>
  <si>
    <t>Explain why training or other defensive mechanisms have not been implemented. Include controls or other policies in place that would substitute.</t>
  </si>
  <si>
    <t>Adversarial training and defenses help keep models resilient against manipulation and evasion attacks.</t>
  </si>
  <si>
    <t>What adversarial training is performed on the ML? What defense mechanisms are incorporated into the ML? How is the input validated for the ML?</t>
  </si>
  <si>
    <t>Describe how the model is made transparent through documentation and logging of inputs and outputs. Provide explanations for predictions.</t>
  </si>
  <si>
    <t>Explain why the model is not documented, does not log inputs/outputs, or lacks explainability features, and describe any compensating controls or future plans to increase transparency.</t>
  </si>
  <si>
    <t>This process helps ensure accountability and detect misuse or anomalies.</t>
  </si>
  <si>
    <t>How long are input/output logs retained, and how is log data protected? How often are transparency and logging processes reviewed or updated? Do logs enable post-hoc trigger correlation?</t>
  </si>
  <si>
    <t>Describe the watermarking process for training data and how it helps track, trace, or protect against compromise. Include dataset fingerprinting, provenance attestations, tools, or techniques used.</t>
  </si>
  <si>
    <t>Explain why training data is not watermarked and any compensating controls or future plans.</t>
  </si>
  <si>
    <t>Watermarking training data supports traceability, making it easier to detect misuse and respond to incidents.</t>
  </si>
  <si>
    <t>Are all training datasets watermarked, or only specific subsets? Are there any policies, procedures, or controls in place that would serve as substitutes or compensating measures for this practice?</t>
  </si>
  <si>
    <t>Describe how privilege control is implemented for the LLM and how trust boundaries are established between LLM, external sources, and extensible functionality (plugins or downstream functions). Include how you leverage "human in the loop" principals.</t>
  </si>
  <si>
    <t>This question addresses misuse, exfiltration/change risk, and over-privileged behavior. It supports accountable operations and auditability.</t>
  </si>
  <si>
    <t>Is the LLM's API token unique? How do you segregate external content from user prompts? Do you manually monitor LLM input and output periodically?</t>
  </si>
  <si>
    <t>Describe your processes for sourcing, licensing, validating, and refreshing training data. Include how sensitive data is handled and how quality checks are performed.</t>
  </si>
  <si>
    <t>State whether there are any governance measures, alternative practices, or no controls in place. Summarize how training data is currently managed.</t>
  </si>
  <si>
    <t>Assures lawful, ethical, and auditable data use while reducing IP and privacy risk. This is key to trustworthy AI and effective audits.</t>
  </si>
  <si>
    <t>Request a dataset register with provenance records, license documentation, and change-control history. Request sample outputs of PII scrubbing/anonymization processes, results of bias/safety evaluations, and records of dataset refresh or retirement events.</t>
  </si>
  <si>
    <t>Describe how human approval or oversight is applied before sensitive or high-impact LLM actions are executed. Include where approvals occur and what roles are involved.</t>
  </si>
  <si>
    <t>Explain whether alternative safeguards exist, whether plans are in place, or if no oversight is applied. Clarify the degree of autonomy currently allowed.</t>
  </si>
  <si>
    <t>Prevents autonomous risky actions or misconfigurations and enforces accountability. This limits excessive agency.</t>
  </si>
  <si>
    <t>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t>
  </si>
  <si>
    <t>Describe how plugins or external tools are restricted. Include whether limits, validation, or monitoring are applied.</t>
  </si>
  <si>
    <t>Indicate whether compensating controls, planned restrictions, or no limitations are in place. Summarize how plugin or tool use is currently handled.</t>
  </si>
  <si>
    <t>Reduces supply-chain and prompt-injection risk, controls attack surface, and clarifies accountability. Aligns with governance expectations.</t>
  </si>
  <si>
    <t>Request a list of all plugins/tools callable by the LLM and the allow-listing criteria/review cadence. Ask for the validation approach, sandbox/egress rules, and test evidence.</t>
  </si>
  <si>
    <t>Describe how resource usage such as tokens, CPU, memory, or API calls is managed. Include whether quotas, monitoring, or escalation paths are defined.</t>
  </si>
  <si>
    <t>Explain whether any alternative practices, future plans, or no limits are in place. Summarize how resource consumption is currently handled.</t>
  </si>
  <si>
    <t>Prevents denial-of-service and cost overruns from excessive or malicious consumption. Demonstrates managed, measurable operations.</t>
  </si>
  <si>
    <t>Request current default versus maximum token/CPU/memory quotas per tenant, monitoring dashboards of usage, and alerts or incidents where throttling was triggered. Ask about runbooks for resource spikes, evidence of recent resource reviews, and escalation paths.</t>
  </si>
  <si>
    <t>Describe how you improve factual reliability. Include whether methods such as retrieval augmentation, fact checking, or human review are applied</t>
  </si>
  <si>
    <t>Indicate whether compensating measures, future plans, or no safeguards exist. Summarize how accuracy is currently managed.</t>
  </si>
  <si>
    <t>Mitigates hallucinations and ensures decisions rely on verifiable information. Supports trustworthy outcomes and reduces downstream misuse.</t>
  </si>
  <si>
    <t>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t>
  </si>
  <si>
    <t>To ensure transparency and verify the vendor provides accessible privacy documentation that institutions can review and share with stakeholders.</t>
  </si>
  <si>
    <t>Please provide the direct URL to your privacy policy and confirm how frequently it is reviewed and updated.</t>
  </si>
  <si>
    <t>To gather voluntary disclosures that provide additional context beyond required responses, helping assessors understand the vendor's privacy culture and proactive commitment to data protection.</t>
  </si>
  <si>
    <t>To identify potential re-identification risks and ensure the vendor doesn't merge institutional data with external datasets in ways that could compromise privacy protections or violate data use restrictions.</t>
  </si>
  <si>
    <t>If yes, describe what types of external data sources are combined with institutional data and for what purposes.</t>
  </si>
  <si>
    <t>To assess cross-border data transfer risks and ensure compliance with international privacy regulations including GDPR, data localization requirements, and data sovereignty considerations.</t>
  </si>
  <si>
    <t>If yes, identify which countries data flows to/from and what safeguards are in place (e.g., Standard Contractual Clauses, adequacy decisions).</t>
  </si>
  <si>
    <t>To protect institutional and individual privacy rights by ensuring data is only disclosed to law enforcement through proper legal channels with appropriate due process protections.</t>
  </si>
  <si>
    <t>If yes, under what circumstances and with what documentation/notification to the institution?</t>
  </si>
  <si>
    <t>To verify the vendor has systematically evaluated privacy risks and implemented appropriate safeguards before deploying their solution, demonstrating privacy-by-design principles.</t>
  </si>
  <si>
    <t>Please provide a copy of the DPIA or summary of findings and mitigation measures.</t>
  </si>
  <si>
    <t>To ensure transparency with end users about data practices and compliance with privacy notice requirements under FERPA, GDPR, CCPA, and other applicable regulations.</t>
  </si>
  <si>
    <t>To verify meaningful consent mechanisms exist and users have adequate control over their personal information in accordance with fair information practice principles and regulatory requirements.</t>
  </si>
  <si>
    <t>Describe your consent mechanism and how users can withdraw consent if they choose.</t>
  </si>
  <si>
    <t>To ensure the vendor maintains data inventory records necessary for privacy compliance, breach response, data subject rights requests, and understanding the full scope of data collection.</t>
  </si>
  <si>
    <t>Please provide your data inventory or map showing categories of personal data collected and retention periods.</t>
  </si>
  <si>
    <t>To limit unauthorized third-party data sharing and ensure transparency about data flows beyond the direct vendor relationship, protecting against unexpected secondary uses.</t>
  </si>
  <si>
    <t>Provide a list of third parties who receive personal information and the purpose for each disclosure.</t>
  </si>
  <si>
    <t>To verify appropriate security controls are in place to protect personal data from breaches, unauthorized disclosure, and both external and internal threats.</t>
  </si>
  <si>
    <t>Describe your access control mechanisms, encryption methods, and incident response procedures.</t>
  </si>
  <si>
    <t>To ensure data quality practices that prevent privacy harms from inaccurate or outdated personal information, particularly in contexts where data accuracy affects individual rights or opportunities.</t>
  </si>
  <si>
    <t>What processes do you have for individuals to review and correct their personal information?</t>
  </si>
  <si>
    <t>To verify accountability mechanisms exist for addressing privacy concerns, providing recourse to affected individuals, and demonstrating responsiveness to privacy complaints.</t>
  </si>
  <si>
    <t>Describe your complaint handling process, typical response times, and escalation procedures.</t>
  </si>
  <si>
    <t>To understand the vendor's approach to privacy-enhancing techniques and assess whether data masking methods are appropriate, effective, and aligned with recognized anonymization standards.</t>
  </si>
  <si>
    <t>Describe your anonymization methodology and any validation or testing performed to ensure re-identification risks are minimized.</t>
  </si>
  <si>
    <t>To prevent secondary use of institutional data that could undermine privacy protections, contradict institutional data governance policies, or enable commercial uses incompatible with educational purposes.</t>
  </si>
  <si>
    <t>If yes, provide details on secondary uses and obtain specific written consent from the institution for these uses.</t>
  </si>
  <si>
    <t>To identify AI-related privacy risks including potential bias, unintended disclosures, lack of explainability in automated decision-making, and training data provenance concerns.</t>
  </si>
  <si>
    <t>To ensure user autonomy regarding AI processing of their data and compliance with emerging AI transparency requirements and ethical principles around algorithmic decision-making.</t>
  </si>
  <si>
    <t>Describe the opt-out mechanism and any limitations or service impacts if a user opts out of AI processing.</t>
  </si>
  <si>
    <t>N/A is only an acceptable answer if AI is the core function of your product.</t>
  </si>
  <si>
    <t>N/A is only an acceptable answer if you answered "no" to ALL of the following 7 questions: PRGN-01, 02, 03, 04 and PDAT-01, 02, 03</t>
  </si>
  <si>
    <t>N/A is only an acceptable answer if you answered "no" to ALL of the following 7 questions: PRGN-01, 02, 03, 04 and PDAT-01, 02, 04</t>
  </si>
  <si>
    <t>N/A is only an acceptable answer if you answered "no" to ALL of the following 7 questions: PRGN-01, 02, 03, 04 and PDAT-01, 02, 05</t>
  </si>
  <si>
    <t>N/A is only an acceptable answer if you answered "no" to ALL of the following 7 questions: PRGN-01, 02, 03, 04 and PDAT-01, 02, 06</t>
  </si>
  <si>
    <t>N/A is only an acceptable answer if you answered "no" to ALL of the following 7 questions: PRGN-01, 02, 03, 04 and PDAT-01, 02, 07</t>
  </si>
  <si>
    <t>N/A is only an acceptable answer if you answered "no" to ALL of the following 7 questions: PRGN-01, 02, 03, 04 and PDAT-01, 02, 08</t>
  </si>
  <si>
    <t>N/A is only an acceptable answer if you answered "no" to ALL of the following 7 questions: PRGN-01, 02, 03, 04 and PDAT-01, 02, 09</t>
  </si>
  <si>
    <t>N/A is only an acceptable answer if you answered "no" to ALL of the following 7 questions: PRGN-01, 02, 03, 04 and PDAT-01, 02, 10</t>
  </si>
  <si>
    <t>N/A is only an acceptable answer if you answered "no" to ALL of the following 7 questions: PRGN-01, 02, 03, 04 and PDAT-01, 02, 11</t>
  </si>
  <si>
    <t>N/A is only an acceptable answer if you answered "no" to ALL of the following 7 questions: PRGN-01, 02, 03, 04 and PDAT-01, 02, 12</t>
  </si>
  <si>
    <t>N/A is only an acceptable answer if you answered "no" to ALL of the following 7 questions: PRGN-01, 02, 03, 04 and PDAT-01, 02, 13</t>
  </si>
  <si>
    <t>N/A is only an acceptable answer if you answered "no" to ALL of the following 7 questions: PRGN-01, 02, 03, 04 and PDAT-01, 02, 14</t>
  </si>
  <si>
    <t>SCORE LOCATIONS</t>
  </si>
  <si>
    <t>START HERE</t>
  </si>
  <si>
    <t>Jump to</t>
  </si>
  <si>
    <t>Based on the response to AAAI-01, this question does not apply to this product or service. Please select N/A.</t>
  </si>
  <si>
    <t>Version 4.1.5</t>
  </si>
  <si>
    <t>Do you have a process and implemented procedures for managing your software supply chain (e.g., libraries, repositories, frameworks, etc.)?</t>
  </si>
  <si>
    <t>Do you have an implemented system configuration management process (e.g., secure "gold" images, etc.)?*</t>
  </si>
  <si>
    <t>Do you perform privacy impact assessments of third parties that collect, process, or have access to personal data to ensure they meet industry and regulatory standards and to mitigate harmful, unethical, or discriminatory impacts on data subjects?</t>
  </si>
  <si>
    <t>Have you performed a Data Privacy Impact Assessment for the solution/project?</t>
  </si>
  <si>
    <t>Testing a business continuity plan is an important action that improves the efficiency and accuracy of a solution provider's continuity plans. Vague responses to this question should be met with concern and appropriate follow-up, based on your institutions risk tolerance.</t>
  </si>
  <si>
    <t>Testing a disaster recovery plan is an important action that improves the efficiency and accuracy of a solution provider's recovery plans. Vague responses to this question should be met with concern and appropriate follow-up, based on your institutions risk tolerance.</t>
  </si>
  <si>
    <t>The sharing of institutional data to fourth-parties may increase the risk to the institution and thus, we want to know who gets what data, when they get that data, and why they get that data.</t>
  </si>
  <si>
    <t>Knowing the protections and legal agreements in place for third-party data sharing may assist analysts in determining residual risk.</t>
  </si>
  <si>
    <t>Describe how the application is distributed. Also, state any plans to publish the app to a trusted source.</t>
  </si>
  <si>
    <t>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t>
  </si>
  <si>
    <t>Answer "yes" if your solution has internal limits to password complexity (max length, certain special characters unsupported, etc.).</t>
  </si>
  <si>
    <t>Summarize your implemented system configuration management process.</t>
  </si>
  <si>
    <t>Please describe any plans to implement third-party library dependency tracking.</t>
  </si>
  <si>
    <t>Please describe your program to track these dependencies.</t>
  </si>
  <si>
    <t>Provide reference the  process/procedure to manage releases.</t>
  </si>
  <si>
    <t>Describe plans to minimize the impact of downtime based on predefined off-peak hours.</t>
  </si>
  <si>
    <t>Describe your overall strategy to accomplish these elements.</t>
  </si>
  <si>
    <t>When data is moved physically (e.g., print, etc.) off-site, the policies and implemented procedures are important to know. Unencrypted data taken outside secured areas introduces unnecessary risks.</t>
  </si>
  <si>
    <t>Provide reference to your data ownership documentation.</t>
  </si>
  <si>
    <t>Provide a detailed description of the implemented strategy (i.e., batteries, generator).</t>
  </si>
  <si>
    <t>Summarize why you will not comply with applicable breach notification laws.</t>
  </si>
  <si>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</si>
  <si>
    <t>Protecting privileged accounts is crucial to maintaining system integrity in any environment. This question is targeting privilege creep and unmanaged privileged accounts to determine if the solution provider properly manages access control in their application/system environments.</t>
  </si>
  <si>
    <t>State plans to implement coverage in the future or how you can provide breach/liability coverage to the institution without it.</t>
  </si>
  <si>
    <t>Describe your external application vulnerability scanning strategy.</t>
  </si>
  <si>
    <t>Having a previous data breach can indicate a level of risk that will indicate that the institution should further investigate changes made after the breach.</t>
  </si>
  <si>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t>
  </si>
  <si>
    <t>It is important to have a procedure in place to mitigate privacy risks as they come up.</t>
  </si>
  <si>
    <t>Do any parts of your institutional policy conflict with the solution provider's standard practices?</t>
  </si>
  <si>
    <t>The institution should know which laws apply to the data to which the solution provider will have access. You should also have a thorough understanding of how requests from law enforcement will be handled.</t>
  </si>
  <si>
    <t>Companies may collect information for purposes not outlined in the service agreement, including quality assurance, marketing, etc. Institutions should have a thorough understanding of what data is being used and how.</t>
  </si>
  <si>
    <t>Such processes would include descriptions of request processes individuals can follow to review their information and written processes a data subject may use to ask for changes or corrections to data held about them.</t>
  </si>
  <si>
    <t>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t>
  </si>
  <si>
    <t>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</si>
  <si>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If your organization has exchange programs or does business with global organizations or organizations located outside the United States, depending on the services sought, your institution should determine whether this is a requirement.</t>
  </si>
  <si>
    <t>Provide the following details about your responsible AI training program: learning objectives, frequency, alignment with standards (e.g., NIST), and who is required to complete the training.</t>
  </si>
  <si>
    <t>Describe capabilities such as content (text, image, audio, speech, video, or code) generation, visual interpretation, and predictive analytics. This encompasses all AI implementations, including third-party AI features. Clarify use cases or limits of the model.</t>
  </si>
  <si>
    <t>Provide compensating controls for data loss prevention (DLP) as it relates to the inputs and outputs of your AI features. Include a timeline for implementing DLP for your AI features.</t>
  </si>
  <si>
    <t>Provide data loss prevention (DLP) features as they relate to your AI offerings. Indicate whether these DLP rules are configurable at the institutional and/or user level.</t>
  </si>
  <si>
    <t>To determine the risk of sensitive data exposure from AI feature inputs and outputs.</t>
  </si>
  <si>
    <t>Provide a timeline for institutions to have the capability to disable AI features in the event of an incident.</t>
  </si>
  <si>
    <t>Provide a timeline for institutions to have the capability to enable AI features in the event of an incident recovery.</t>
  </si>
  <si>
    <t>Describe how the training data is vetted, validated and verified before the AI model is trained. Include the process along with the AI/ML data policy. Describe your validation of data labelers to validate the accuracy of the data labeling.</t>
  </si>
  <si>
    <t>Describe other compensating controls for mitigating prompt-injection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</si>
</sst>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2"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0"/>
      <color indexed="8"/>
      <name val="Arial"/>
      <family val="2"/>
    </font>
    <font>
      <sz val="11"/>
      <color rgb="FF1A1A1A"/>
      <name val="Arial"/>
      <family val="2"/>
    </font>
    <font>
      <sz val="10"/>
      <name val="Aptos Narrow"/>
      <family val="2"/>
      <scheme val="minor"/>
    </font>
  </fonts>
  <fills count="2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5" fillId="0" borderId="0" applyNumberFormat="0" applyFill="0" applyBorder="0" applyAlignment="0" applyProtection="0">
      <alignment vertical="top" wrapText="1"/>
    </xf>
    <xf numFmtId="0" fontId="22" fillId="0" borderId="0" applyNumberFormat="0" applyFill="0" applyBorder="0" applyProtection="0">
      <alignment vertical="top" wrapText="1"/>
    </xf>
  </cellStyleXfs>
  <cellXfs count="365">
    <xf numFmtId="0" fontId="0" fillId="0" borderId="0" xfId="0">
      <alignment vertical="top" wrapText="1"/>
    </xf>
    <xf numFmtId="0" fontId="4" fillId="0" borderId="0" xfId="0" applyNumberFormat="1" applyFont="1" applyAlignment="1"/>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5"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5" xfId="0" applyNumberFormat="1" applyFont="1" applyFill="1" applyBorder="1" applyAlignment="1">
      <alignment horizontal="center" vertical="center" wrapText="1"/>
    </xf>
    <xf numFmtId="1" fontId="19" fillId="3" borderId="5" xfId="0" applyNumberFormat="1" applyFont="1" applyFill="1" applyBorder="1" applyAlignment="1">
      <alignment horizontal="left" vertical="center" wrapText="1"/>
    </xf>
    <xf numFmtId="1" fontId="20" fillId="3"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7"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0" fontId="19" fillId="3" borderId="2" xfId="0" applyNumberFormat="1" applyFont="1" applyFill="1" applyBorder="1" applyAlignment="1">
      <alignment vertical="center"/>
    </xf>
    <xf numFmtId="0" fontId="22"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4" fillId="0" borderId="0" xfId="0" applyFont="1" applyAlignment="1">
      <alignment horizontal="center" vertical="center" wrapText="1"/>
    </xf>
    <xf numFmtId="0" fontId="22" fillId="0" borderId="14" xfId="0" applyFont="1" applyBorder="1" applyAlignment="1">
      <alignment horizontal="center" vertical="center" wrapText="1"/>
    </xf>
    <xf numFmtId="0" fontId="19" fillId="3" borderId="5" xfId="0" applyNumberFormat="1" applyFont="1" applyFill="1" applyBorder="1" applyAlignment="1">
      <alignment horizontal="center" vertical="center"/>
    </xf>
    <xf numFmtId="0" fontId="21" fillId="0" borderId="4" xfId="0" applyNumberFormat="1" applyFont="1" applyFill="1" applyBorder="1" applyAlignment="1">
      <alignment vertical="center" wrapText="1"/>
    </xf>
    <xf numFmtId="0" fontId="21" fillId="0" borderId="4" xfId="0" applyNumberFormat="1" applyFont="1" applyFill="1" applyBorder="1" applyAlignment="1">
      <alignment vertical="center"/>
    </xf>
    <xf numFmtId="0" fontId="22" fillId="0" borderId="3" xfId="0" applyFont="1" applyBorder="1" applyAlignment="1">
      <alignment vertical="center" wrapText="1"/>
    </xf>
    <xf numFmtId="0" fontId="28" fillId="0" borderId="0" xfId="0" applyNumberFormat="1" applyFont="1" applyAlignment="1"/>
    <xf numFmtId="164" fontId="18" fillId="10" borderId="4"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8"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3"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2"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22" fillId="0" borderId="20"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2"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2" fillId="0" borderId="0" xfId="3" applyAlignment="1">
      <alignment horizontal="left" vertical="center" wrapText="1"/>
    </xf>
    <xf numFmtId="0" fontId="22"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8"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2" fillId="0" borderId="15"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8" fillId="0" borderId="1" xfId="0" applyNumberFormat="1" applyFont="1" applyFill="1" applyBorder="1" applyAlignment="1">
      <alignment horizontal="left" vertical="center"/>
    </xf>
    <xf numFmtId="0" fontId="17" fillId="2" borderId="4"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4" xfId="0" applyNumberFormat="1" applyFont="1" applyFill="1" applyBorder="1" applyAlignment="1">
      <alignment horizontal="left" vertical="center" wrapText="1"/>
    </xf>
    <xf numFmtId="9" fontId="6" fillId="2" borderId="28" xfId="3" applyNumberFormat="1"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22" fillId="0" borderId="0" xfId="3" applyAlignment="1">
      <alignment vertical="center" wrapText="1"/>
    </xf>
    <xf numFmtId="0" fontId="7" fillId="0" borderId="33" xfId="3" applyFont="1" applyBorder="1" applyAlignment="1">
      <alignment vertical="center"/>
    </xf>
    <xf numFmtId="0" fontId="6" fillId="2" borderId="28" xfId="3" applyFont="1" applyFill="1" applyBorder="1" applyAlignment="1">
      <alignment horizontal="center" vertical="center" wrapText="1"/>
    </xf>
    <xf numFmtId="0" fontId="32" fillId="0" borderId="0" xfId="3" applyFont="1" applyAlignment="1">
      <alignment vertical="center" wrapText="1"/>
    </xf>
    <xf numFmtId="0" fontId="32"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4" fillId="0" borderId="0" xfId="1" applyFont="1"/>
    <xf numFmtId="0" fontId="35" fillId="0" borderId="0" xfId="1" applyFont="1"/>
    <xf numFmtId="0" fontId="35"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4"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9"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7" fillId="13" borderId="0" xfId="1" applyFont="1" applyFill="1" applyAlignment="1">
      <alignment horizontal="center" vertical="center" wrapText="1"/>
    </xf>
    <xf numFmtId="0" fontId="27" fillId="14" borderId="0" xfId="1" applyFont="1" applyFill="1" applyAlignment="1">
      <alignment horizontal="center" vertical="center" wrapText="1"/>
    </xf>
    <xf numFmtId="0" fontId="9" fillId="14" borderId="0" xfId="1" applyFont="1" applyFill="1" applyAlignment="1">
      <alignment horizontal="center" vertical="center" wrapText="1"/>
    </xf>
    <xf numFmtId="0" fontId="36" fillId="0" borderId="0" xfId="0" applyFont="1" applyBorder="1">
      <alignment vertical="top" wrapText="1"/>
    </xf>
    <xf numFmtId="0" fontId="27" fillId="12" borderId="0" xfId="1" applyFont="1" applyFill="1" applyAlignment="1">
      <alignment horizontal="center" vertical="center" wrapText="1"/>
    </xf>
    <xf numFmtId="0" fontId="6" fillId="2" borderId="30" xfId="3" applyFont="1" applyFill="1" applyBorder="1" applyAlignment="1">
      <alignment horizontal="center" vertical="center" wrapText="1"/>
    </xf>
    <xf numFmtId="0" fontId="6" fillId="2" borderId="29" xfId="3" applyFont="1" applyFill="1" applyBorder="1" applyAlignment="1">
      <alignment horizontal="center" vertical="center" wrapText="1"/>
    </xf>
    <xf numFmtId="3" fontId="7" fillId="0" borderId="5" xfId="3" applyNumberFormat="1" applyFont="1" applyBorder="1" applyAlignment="1">
      <alignment horizontal="center" vertical="center" wrapText="1"/>
    </xf>
    <xf numFmtId="3" fontId="6" fillId="2" borderId="31" xfId="3" applyNumberFormat="1" applyFont="1" applyFill="1" applyBorder="1" applyAlignment="1">
      <alignment horizontal="center" vertical="center" wrapText="1"/>
    </xf>
    <xf numFmtId="0" fontId="6" fillId="10" borderId="32" xfId="3" applyFont="1" applyFill="1" applyBorder="1" applyAlignment="1">
      <alignment horizontal="left" vertical="center" wrapText="1"/>
    </xf>
    <xf numFmtId="0" fontId="6" fillId="10" borderId="29" xfId="3" applyFont="1" applyFill="1" applyBorder="1" applyAlignment="1">
      <alignment horizontal="center" vertical="center" wrapText="1"/>
    </xf>
    <xf numFmtId="3" fontId="6" fillId="10" borderId="31" xfId="3" applyNumberFormat="1" applyFont="1" applyFill="1" applyBorder="1" applyAlignment="1">
      <alignment horizontal="center" vertical="center" wrapText="1"/>
    </xf>
    <xf numFmtId="9" fontId="6" fillId="10" borderId="28" xfId="3" applyNumberFormat="1" applyFont="1" applyFill="1" applyBorder="1" applyAlignment="1">
      <alignment horizontal="center" vertical="center" wrapText="1"/>
    </xf>
    <xf numFmtId="0" fontId="7" fillId="0" borderId="23" xfId="3" applyFont="1" applyBorder="1" applyAlignment="1">
      <alignment vertical="center"/>
      <extLst>
        <ext xmlns:xfpb="http://schemas.microsoft.com/office/spreadsheetml/2022/featurepropertybag" uri="{C7286773-470A-42A8-94C5-96B5CB345126}">
          <xfpb:xfComplement i="0"/>
        </ext>
      </extLst>
    </xf>
    <xf numFmtId="3" fontId="7" fillId="0" borderId="7" xfId="3" applyNumberFormat="1" applyFont="1" applyBorder="1" applyAlignment="1">
      <alignment horizontal="center" vertical="center" wrapText="1"/>
    </xf>
    <xf numFmtId="0" fontId="22" fillId="0" borderId="4" xfId="3" applyBorder="1" applyAlignment="1">
      <alignment vertical="center" wrapText="1"/>
    </xf>
    <xf numFmtId="0" fontId="22" fillId="0" borderId="21" xfId="3" applyBorder="1" applyAlignment="1">
      <alignment vertical="center" wrapText="1"/>
    </xf>
    <xf numFmtId="0" fontId="22" fillId="0" borderId="6" xfId="3" applyBorder="1" applyAlignment="1">
      <alignment vertical="center" wrapText="1"/>
    </xf>
    <xf numFmtId="0" fontId="22" fillId="0" borderId="36" xfId="3" applyBorder="1" applyAlignment="1">
      <alignment vertical="center" wrapText="1"/>
    </xf>
    <xf numFmtId="0" fontId="22" fillId="0" borderId="37" xfId="3" applyBorder="1" applyAlignment="1">
      <alignment vertical="center" wrapText="1"/>
    </xf>
    <xf numFmtId="0" fontId="22" fillId="0" borderId="38" xfId="3" applyBorder="1" applyAlignment="1">
      <alignment vertical="center" wrapText="1"/>
    </xf>
    <xf numFmtId="0" fontId="6" fillId="2" borderId="11"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6" fillId="2" borderId="26" xfId="3" applyFont="1" applyFill="1" applyBorder="1" applyAlignment="1">
      <alignment horizontal="center" vertical="center" wrapText="1"/>
    </xf>
    <xf numFmtId="9" fontId="6" fillId="2" borderId="11"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9" fontId="6" fillId="2" borderId="26" xfId="3" applyNumberFormat="1" applyFont="1" applyFill="1" applyBorder="1" applyAlignment="1">
      <alignment horizontal="center" vertical="center" wrapText="1"/>
    </xf>
    <xf numFmtId="0" fontId="25" fillId="3" borderId="5" xfId="2" applyNumberFormat="1" applyFill="1" applyBorder="1" applyAlignment="1">
      <alignment horizontal="center" vertical="center"/>
    </xf>
    <xf numFmtId="0" fontId="37" fillId="3" borderId="5" xfId="2" applyNumberFormat="1" applyFont="1" applyFill="1" applyBorder="1" applyAlignment="1">
      <alignment horizontal="center" vertical="center"/>
    </xf>
    <xf numFmtId="0" fontId="33"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6" fillId="0" borderId="44" xfId="3" applyFont="1" applyBorder="1" applyAlignment="1">
      <alignment vertical="center" wrapText="1"/>
    </xf>
    <xf numFmtId="0" fontId="6" fillId="0" borderId="37" xfId="3" applyFont="1" applyBorder="1" applyAlignment="1">
      <alignment vertical="center" wrapText="1"/>
    </xf>
    <xf numFmtId="0" fontId="4" fillId="0" borderId="47" xfId="3" applyFont="1" applyBorder="1" applyAlignment="1">
      <alignment horizontal="left" vertical="center"/>
    </xf>
    <xf numFmtId="0" fontId="6" fillId="0" borderId="48" xfId="3" applyFont="1" applyBorder="1" applyAlignment="1">
      <alignment vertical="center" wrapText="1"/>
    </xf>
    <xf numFmtId="0" fontId="6" fillId="2" borderId="41" xfId="3" applyFont="1" applyFill="1" applyBorder="1" applyAlignment="1">
      <alignment vertical="center" wrapText="1"/>
    </xf>
    <xf numFmtId="0" fontId="6" fillId="2" borderId="2" xfId="3" applyFont="1" applyFill="1" applyBorder="1" applyAlignment="1">
      <alignment vertical="center" wrapText="1"/>
    </xf>
    <xf numFmtId="0" fontId="6" fillId="2" borderId="46"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5" xfId="3" applyNumberFormat="1" applyFont="1" applyFill="1" applyBorder="1" applyAlignment="1">
      <alignment horizontal="center" vertical="center" wrapText="1"/>
    </xf>
    <xf numFmtId="0" fontId="7" fillId="0" borderId="35" xfId="3" applyFont="1" applyBorder="1" applyAlignment="1">
      <alignment vertical="center"/>
    </xf>
    <xf numFmtId="0" fontId="7" fillId="0" borderId="39" xfId="3" applyFont="1" applyBorder="1" applyAlignment="1">
      <alignment vertical="center"/>
      <extLst>
        <ext xmlns:xfpb="http://schemas.microsoft.com/office/spreadsheetml/2022/featurepropertybag" uri="{C7286773-470A-42A8-94C5-96B5CB345126}">
          <xfpb:xfComplement i="0"/>
        </ext>
      </extLst>
    </xf>
    <xf numFmtId="3" fontId="7" fillId="0" borderId="34" xfId="3" applyNumberFormat="1" applyFont="1" applyBorder="1" applyAlignment="1">
      <alignment horizontal="center" vertical="center" wrapText="1"/>
    </xf>
    <xf numFmtId="9" fontId="7" fillId="10" borderId="24"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2"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4" xfId="0" applyNumberFormat="1" applyFont="1" applyFill="1" applyBorder="1" applyAlignment="1">
      <alignment horizontal="center" vertical="center"/>
    </xf>
    <xf numFmtId="0" fontId="22"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0" xfId="3" applyFont="1" applyFill="1" applyBorder="1" applyAlignment="1">
      <alignment vertical="center"/>
    </xf>
    <xf numFmtId="0" fontId="6" fillId="2" borderId="16" xfId="3" applyFont="1" applyFill="1" applyBorder="1" applyAlignment="1">
      <alignment vertical="center"/>
    </xf>
    <xf numFmtId="0" fontId="6" fillId="2" borderId="45" xfId="3" applyFont="1" applyFill="1" applyBorder="1" applyAlignment="1">
      <alignment vertical="center"/>
    </xf>
    <xf numFmtId="0" fontId="27" fillId="15" borderId="0" xfId="1" applyFont="1" applyFill="1" applyAlignment="1">
      <alignment horizontal="center" vertical="center" wrapText="1"/>
    </xf>
    <xf numFmtId="0" fontId="38" fillId="0" borderId="11" xfId="0" applyFont="1" applyFill="1" applyBorder="1">
      <alignment vertical="top" wrapText="1"/>
    </xf>
    <xf numFmtId="0" fontId="38" fillId="0" borderId="27" xfId="0" applyFont="1" applyBorder="1">
      <alignment vertical="top" wrapText="1"/>
    </xf>
    <xf numFmtId="0" fontId="38" fillId="0" borderId="26" xfId="0" applyFont="1" applyFill="1" applyBorder="1">
      <alignment vertical="top" wrapText="1"/>
    </xf>
    <xf numFmtId="0" fontId="6" fillId="2" borderId="27" xfId="3" applyFont="1" applyFill="1" applyBorder="1" applyAlignment="1">
      <alignment vertical="center"/>
    </xf>
    <xf numFmtId="0" fontId="6" fillId="2" borderId="26" xfId="3" applyFont="1" applyFill="1" applyBorder="1" applyAlignment="1">
      <alignment vertical="center"/>
    </xf>
    <xf numFmtId="0" fontId="14" fillId="4" borderId="0" xfId="3" applyNumberFormat="1" applyFont="1" applyFill="1" applyBorder="1" applyAlignment="1">
      <alignment vertical="center"/>
    </xf>
    <xf numFmtId="0" fontId="22" fillId="3" borderId="10" xfId="3" applyFill="1" applyBorder="1">
      <alignment vertical="top" wrapText="1"/>
    </xf>
    <xf numFmtId="1" fontId="40" fillId="2" borderId="7"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8"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29" fillId="18" borderId="0" xfId="0" applyNumberFormat="1" applyFont="1" applyFill="1" applyBorder="1" applyAlignment="1">
      <alignment vertical="center"/>
    </xf>
    <xf numFmtId="0" fontId="29" fillId="18" borderId="0" xfId="3" applyNumberFormat="1" applyFont="1" applyFill="1" applyBorder="1" applyAlignment="1">
      <alignment horizontal="left" vertical="center"/>
    </xf>
    <xf numFmtId="0" fontId="30" fillId="18" borderId="0" xfId="3" applyNumberFormat="1" applyFont="1" applyFill="1" applyBorder="1" applyAlignment="1">
      <alignment horizontal="center" vertical="center" wrapText="1"/>
    </xf>
    <xf numFmtId="0" fontId="42" fillId="0" borderId="0" xfId="3" applyFont="1">
      <alignment vertical="top" wrapText="1"/>
    </xf>
    <xf numFmtId="0" fontId="29" fillId="18" borderId="0" xfId="0" applyNumberFormat="1" applyFont="1" applyFill="1" applyBorder="1" applyAlignment="1">
      <alignment horizontal="center" vertical="center"/>
    </xf>
    <xf numFmtId="0" fontId="42" fillId="0" borderId="0" xfId="0" applyFont="1">
      <alignment vertical="top" wrapText="1"/>
    </xf>
    <xf numFmtId="0" fontId="29" fillId="19" borderId="0" xfId="3" applyNumberFormat="1" applyFont="1" applyFill="1" applyBorder="1" applyAlignment="1">
      <alignment vertical="center"/>
    </xf>
    <xf numFmtId="0" fontId="5" fillId="20" borderId="17" xfId="0"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22" fillId="16" borderId="3"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43" fillId="21" borderId="10" xfId="0" applyFont="1" applyFill="1" applyBorder="1" applyAlignment="1">
      <alignment horizontal="center" vertical="center" wrapText="1"/>
    </xf>
    <xf numFmtId="0" fontId="22" fillId="22" borderId="8" xfId="0" applyFont="1" applyFill="1" applyBorder="1" applyAlignment="1">
      <alignment vertical="center" wrapText="1"/>
    </xf>
    <xf numFmtId="0" fontId="43" fillId="21" borderId="11" xfId="0" applyFont="1" applyFill="1" applyBorder="1" applyAlignment="1">
      <alignment horizontal="center" vertical="center" wrapText="1"/>
    </xf>
    <xf numFmtId="0" fontId="45" fillId="22" borderId="11" xfId="0" applyNumberFormat="1" applyFont="1" applyFill="1" applyBorder="1" applyAlignment="1">
      <alignment horizontal="center" vertical="center" wrapText="1"/>
    </xf>
    <xf numFmtId="0" fontId="44" fillId="22" borderId="11" xfId="0" applyNumberFormat="1" applyFont="1" applyFill="1" applyBorder="1" applyAlignment="1">
      <alignment horizontal="center" vertical="center" wrapText="1"/>
    </xf>
    <xf numFmtId="0" fontId="22" fillId="22" borderId="16" xfId="0" applyFont="1" applyFill="1" applyBorder="1" applyAlignment="1">
      <alignment vertical="center" wrapText="1"/>
    </xf>
    <xf numFmtId="0" fontId="22" fillId="22" borderId="50" xfId="0" applyFont="1" applyFill="1" applyBorder="1" applyAlignment="1">
      <alignment vertical="center" wrapText="1"/>
    </xf>
    <xf numFmtId="0" fontId="22" fillId="22" borderId="25" xfId="0" applyFont="1" applyFill="1" applyBorder="1" applyAlignment="1">
      <alignment vertical="center" wrapText="1"/>
    </xf>
    <xf numFmtId="0" fontId="22" fillId="22" borderId="16" xfId="0" applyFont="1" applyFill="1" applyBorder="1">
      <alignment vertical="top" wrapText="1"/>
    </xf>
    <xf numFmtId="0" fontId="4" fillId="0" borderId="39" xfId="0" applyNumberFormat="1" applyFont="1" applyBorder="1" applyAlignment="1">
      <alignment vertical="center"/>
    </xf>
    <xf numFmtId="0" fontId="5" fillId="17" borderId="39" xfId="0" applyNumberFormat="1" applyFont="1" applyFill="1" applyBorder="1" applyAlignment="1">
      <alignment horizontal="center" vertical="center" wrapText="1"/>
    </xf>
    <xf numFmtId="0" fontId="4" fillId="0" borderId="39" xfId="0" applyNumberFormat="1" applyFont="1" applyBorder="1" applyAlignment="1"/>
    <xf numFmtId="0" fontId="4" fillId="0" borderId="0" xfId="0" applyNumberFormat="1" applyFont="1" applyBorder="1" applyAlignment="1"/>
    <xf numFmtId="0" fontId="43" fillId="21" borderId="22" xfId="0" applyFont="1" applyFill="1" applyBorder="1" applyAlignment="1">
      <alignment horizontal="center" vertical="center" wrapText="1"/>
    </xf>
    <xf numFmtId="0" fontId="22" fillId="22" borderId="8" xfId="0" applyFont="1" applyFill="1" applyBorder="1">
      <alignment vertical="top" wrapText="1"/>
    </xf>
    <xf numFmtId="0" fontId="43" fillId="21" borderId="32" xfId="0" applyFont="1" applyFill="1" applyBorder="1" applyAlignment="1">
      <alignment horizontal="center" vertical="center" wrapText="1"/>
    </xf>
    <xf numFmtId="0" fontId="43" fillId="21" borderId="52" xfId="0" applyFont="1" applyFill="1" applyBorder="1" applyAlignment="1">
      <alignment horizontal="center" vertical="center" wrapText="1"/>
    </xf>
    <xf numFmtId="0" fontId="22" fillId="22" borderId="14" xfId="0" applyFont="1" applyFill="1" applyBorder="1" applyAlignment="1">
      <alignment vertical="center" wrapText="1"/>
    </xf>
    <xf numFmtId="0" fontId="22" fillId="3" borderId="0" xfId="3" applyFill="1" applyBorder="1">
      <alignment vertical="top" wrapText="1"/>
    </xf>
    <xf numFmtId="0" fontId="17" fillId="18" borderId="0" xfId="3" applyNumberFormat="1" applyFont="1" applyFill="1" applyBorder="1" applyAlignment="1">
      <alignment horizontal="center" vertical="center" wrapText="1"/>
    </xf>
    <xf numFmtId="0" fontId="46" fillId="3" borderId="34" xfId="0" applyNumberFormat="1" applyFont="1" applyFill="1" applyBorder="1" applyAlignment="1">
      <alignment horizontal="center" vertical="center"/>
    </xf>
    <xf numFmtId="0" fontId="47" fillId="21" borderId="35" xfId="0" applyFont="1" applyFill="1" applyBorder="1" applyAlignment="1">
      <alignment horizontal="center" vertical="center" wrapText="1"/>
    </xf>
    <xf numFmtId="0" fontId="0" fillId="0" borderId="3" xfId="0" applyBorder="1" applyAlignment="1">
      <alignment vertical="center" wrapText="1"/>
    </xf>
    <xf numFmtId="0" fontId="22" fillId="3" borderId="3" xfId="3" applyFill="1" applyBorder="1" applyAlignment="1">
      <alignment vertical="center" wrapText="1"/>
    </xf>
    <xf numFmtId="0" fontId="6" fillId="0" borderId="41" xfId="3" applyFont="1" applyBorder="1" applyAlignment="1">
      <alignment vertical="center" wrapText="1"/>
    </xf>
    <xf numFmtId="0" fontId="6" fillId="0" borderId="2" xfId="3" applyFont="1" applyBorder="1" applyAlignment="1">
      <alignment vertical="center" wrapText="1"/>
    </xf>
    <xf numFmtId="0" fontId="6" fillId="0" borderId="46" xfId="3" applyFont="1" applyBorder="1" applyAlignment="1">
      <alignment vertical="center" wrapText="1"/>
    </xf>
    <xf numFmtId="0" fontId="6" fillId="0" borderId="9" xfId="3" applyFont="1" applyBorder="1" applyAlignment="1">
      <alignment vertical="center" wrapText="1"/>
    </xf>
    <xf numFmtId="0" fontId="33" fillId="0" borderId="9"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5" xfId="0" applyNumberFormat="1" applyFont="1" applyFill="1" applyBorder="1" applyAlignment="1">
      <alignment horizontal="center" vertical="center"/>
    </xf>
    <xf numFmtId="0" fontId="37" fillId="23" borderId="5" xfId="2" applyNumberFormat="1" applyFont="1" applyFill="1" applyBorder="1" applyAlignment="1">
      <alignment horizontal="center" vertical="center"/>
    </xf>
    <xf numFmtId="165" fontId="25" fillId="0" borderId="21" xfId="2" applyNumberFormat="1" applyBorder="1" applyAlignment="1">
      <alignment horizontal="left" vertical="center"/>
    </xf>
    <xf numFmtId="165" fontId="25" fillId="0" borderId="4" xfId="2" applyNumberFormat="1" applyBorder="1" applyAlignment="1">
      <alignment horizontal="left" vertical="center"/>
    </xf>
    <xf numFmtId="165" fontId="25" fillId="0" borderId="6" xfId="2" applyNumberFormat="1" applyBorder="1" applyAlignment="1">
      <alignment horizontal="left" vertical="center"/>
    </xf>
    <xf numFmtId="0" fontId="11" fillId="0" borderId="3"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4" fillId="4" borderId="0" xfId="1" applyFont="1" applyFill="1"/>
    <xf numFmtId="0" fontId="25" fillId="2" borderId="9" xfId="2" applyNumberFormat="1" applyFill="1" applyBorder="1" applyAlignment="1">
      <alignment vertical="center"/>
    </xf>
    <xf numFmtId="0" fontId="19" fillId="3" borderId="5" xfId="3" applyNumberFormat="1" applyFont="1" applyFill="1" applyBorder="1" applyAlignment="1">
      <alignment vertical="center"/>
    </xf>
    <xf numFmtId="0" fontId="25" fillId="2" borderId="0" xfId="2" applyNumberFormat="1" applyFill="1" applyBorder="1" applyAlignment="1">
      <alignment vertical="center"/>
    </xf>
    <xf numFmtId="0" fontId="30" fillId="2" borderId="0" xfId="2" applyNumberFormat="1" applyFont="1" applyFill="1" applyBorder="1" applyAlignment="1">
      <alignment vertical="center"/>
    </xf>
    <xf numFmtId="0" fontId="24" fillId="0" borderId="0" xfId="3" applyFont="1">
      <alignment vertical="top" wrapText="1"/>
    </xf>
    <xf numFmtId="0" fontId="33" fillId="0" borderId="0" xfId="0" applyNumberFormat="1" applyFont="1" applyAlignment="1">
      <alignment shrinkToFit="1"/>
    </xf>
    <xf numFmtId="0" fontId="1" fillId="0" borderId="0" xfId="0" applyFont="1" applyAlignment="1">
      <alignment vertical="top" shrinkToFit="1"/>
    </xf>
    <xf numFmtId="0" fontId="22" fillId="0" borderId="0" xfId="3" applyAlignment="1">
      <alignment vertical="top" shrinkToFit="1"/>
    </xf>
    <xf numFmtId="0" fontId="33" fillId="0" borderId="0" xfId="0" applyFont="1" applyAlignment="1">
      <alignment shrinkToFit="1"/>
    </xf>
    <xf numFmtId="0" fontId="1" fillId="0" borderId="0" xfId="0" applyFont="1" applyBorder="1" applyAlignment="1">
      <alignment vertical="top" shrinkToFit="1"/>
    </xf>
    <xf numFmtId="0" fontId="50" fillId="0" borderId="0" xfId="1" applyFont="1" applyAlignment="1">
      <alignment shrinkToFit="1"/>
    </xf>
    <xf numFmtId="0" fontId="50" fillId="0" borderId="0" xfId="1" applyFont="1" applyAlignment="1">
      <alignment vertical="top" shrinkToFit="1"/>
    </xf>
    <xf numFmtId="0" fontId="51" fillId="0" borderId="0" xfId="0" applyFont="1" applyAlignment="1">
      <alignment vertical="center"/>
    </xf>
    <xf numFmtId="0" fontId="25"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2" fillId="0" borderId="0" xfId="0" applyNumberFormat="1" applyFont="1" applyAlignment="1"/>
    <xf numFmtId="0" fontId="53" fillId="0" borderId="0" xfId="0" applyNumberFormat="1" applyFont="1" applyAlignment="1"/>
    <xf numFmtId="0" fontId="14" fillId="4" borderId="0" xfId="3" applyNumberFormat="1" applyFont="1" applyFill="1" applyBorder="1" applyAlignment="1">
      <alignment horizontal="left" vertical="center"/>
    </xf>
    <xf numFmtId="0" fontId="25"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8" fillId="0" borderId="0" xfId="0" applyFont="1" applyFill="1" applyBorder="1" applyAlignment="1">
      <alignment vertical="center" wrapText="1"/>
    </xf>
    <xf numFmtId="1" fontId="40" fillId="0" borderId="0" xfId="0" applyNumberFormat="1" applyFont="1" applyFill="1" applyBorder="1" applyAlignment="1">
      <alignment vertical="center" wrapText="1"/>
    </xf>
    <xf numFmtId="0" fontId="22" fillId="0" borderId="0" xfId="0" applyFont="1" applyFill="1" applyBorder="1">
      <alignment vertical="top" wrapText="1"/>
    </xf>
    <xf numFmtId="0" fontId="33" fillId="0" borderId="0" xfId="0" applyNumberFormat="1" applyFont="1" applyFill="1" applyAlignment="1">
      <alignment shrinkToFit="1"/>
    </xf>
    <xf numFmtId="0" fontId="4" fillId="0" borderId="18" xfId="3" applyFont="1" applyBorder="1" applyAlignment="1">
      <alignment horizontal="left" vertical="center" wrapText="1"/>
    </xf>
    <xf numFmtId="0" fontId="22" fillId="0" borderId="18" xfId="3" applyBorder="1">
      <alignment vertical="top" wrapText="1"/>
    </xf>
    <xf numFmtId="0" fontId="14" fillId="4" borderId="54" xfId="0" applyNumberFormat="1" applyFont="1" applyFill="1" applyBorder="1" applyAlignment="1">
      <alignment vertical="center"/>
    </xf>
    <xf numFmtId="0" fontId="14" fillId="4" borderId="39" xfId="0" applyNumberFormat="1" applyFont="1" applyFill="1" applyBorder="1" applyAlignment="1">
      <alignment vertical="center"/>
    </xf>
    <xf numFmtId="0" fontId="14" fillId="4" borderId="23" xfId="0" applyNumberFormat="1" applyFont="1" applyFill="1" applyBorder="1" applyAlignment="1">
      <alignment vertical="center"/>
    </xf>
    <xf numFmtId="0" fontId="18" fillId="4" borderId="23" xfId="0" applyNumberFormat="1" applyFont="1" applyFill="1" applyBorder="1" applyAlignment="1">
      <alignment vertical="center"/>
    </xf>
    <xf numFmtId="0" fontId="22" fillId="0" borderId="55"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39" xfId="3" applyNumberFormat="1" applyFont="1" applyFill="1" applyBorder="1" applyAlignment="1">
      <alignment vertical="center"/>
    </xf>
    <xf numFmtId="0" fontId="3" fillId="2" borderId="23" xfId="3" applyNumberFormat="1" applyFont="1" applyFill="1" applyBorder="1" applyAlignment="1">
      <alignment vertical="center"/>
    </xf>
    <xf numFmtId="0" fontId="22"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4"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5"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5" xfId="0" applyNumberFormat="1" applyFont="1" applyFill="1" applyBorder="1" applyAlignment="1" applyProtection="1">
      <alignment horizontal="center" vertical="center" wrapText="1"/>
    </xf>
    <xf numFmtId="1" fontId="19" fillId="3" borderId="5" xfId="0" applyNumberFormat="1" applyFont="1" applyFill="1" applyBorder="1" applyAlignment="1" applyProtection="1">
      <alignment horizontal="left" vertical="center" wrapText="1"/>
    </xf>
    <xf numFmtId="1" fontId="20" fillId="3" borderId="5"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4" xfId="0" applyNumberFormat="1" applyFont="1" applyFill="1" applyBorder="1" applyAlignment="1" applyProtection="1">
      <alignment vertical="center"/>
    </xf>
    <xf numFmtId="0" fontId="14" fillId="4" borderId="39"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5" fillId="4" borderId="0" xfId="2" applyNumberFormat="1" applyFill="1" applyBorder="1" applyAlignment="1" applyProtection="1">
      <alignment vertical="center"/>
    </xf>
    <xf numFmtId="0" fontId="14" fillId="4" borderId="23"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4" fillId="2" borderId="11"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2" fillId="24" borderId="0" xfId="3" applyFill="1">
      <alignment vertical="top" wrapText="1"/>
    </xf>
    <xf numFmtId="0" fontId="55" fillId="4" borderId="3" xfId="3" applyNumberFormat="1" applyFont="1" applyFill="1" applyBorder="1" applyAlignment="1">
      <alignment vertical="center"/>
    </xf>
    <xf numFmtId="0" fontId="22" fillId="0" borderId="1" xfId="0" applyFont="1" applyBorder="1" applyAlignment="1">
      <alignment horizontal="left" vertical="center"/>
    </xf>
    <xf numFmtId="0" fontId="22" fillId="0" borderId="37" xfId="0" applyFont="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vertical="center" wrapText="1"/>
    </xf>
    <xf numFmtId="0" fontId="23" fillId="0" borderId="27"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4"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8" fillId="0" borderId="1" xfId="0" applyNumberFormat="1" applyFont="1" applyFill="1" applyBorder="1" applyAlignment="1">
      <alignment vertical="center" wrapText="1"/>
    </xf>
    <xf numFmtId="0" fontId="28" fillId="0" borderId="2" xfId="0" applyNumberFormat="1" applyFont="1" applyFill="1" applyBorder="1" applyAlignment="1">
      <alignment vertical="center" wrapText="1"/>
    </xf>
    <xf numFmtId="0" fontId="28"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4"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4" xfId="0" applyNumberFormat="1" applyFont="1" applyFill="1" applyBorder="1" applyAlignment="1">
      <alignment horizontal="center" vertical="center" wrapText="1"/>
    </xf>
    <xf numFmtId="0" fontId="32" fillId="0" borderId="4" xfId="0" applyFont="1" applyBorder="1" applyAlignment="1">
      <alignment horizontal="left" vertical="center"/>
    </xf>
    <xf numFmtId="0" fontId="20" fillId="3" borderId="5" xfId="0" applyNumberFormat="1" applyFont="1" applyFill="1" applyBorder="1" applyAlignment="1">
      <alignment horizontal="left" vertical="center"/>
    </xf>
    <xf numFmtId="0" fontId="56" fillId="0" borderId="3" xfId="0" applyFont="1" applyBorder="1" applyAlignment="1">
      <alignment horizontal="left" vertical="center" wrapText="1"/>
    </xf>
    <xf numFmtId="0" fontId="57" fillId="3" borderId="5" xfId="0" applyNumberFormat="1" applyFont="1" applyFill="1" applyBorder="1" applyAlignment="1">
      <alignment horizontal="left" vertical="center"/>
    </xf>
    <xf numFmtId="0" fontId="56" fillId="0" borderId="2" xfId="0" applyFont="1" applyBorder="1" applyAlignment="1">
      <alignment horizontal="left" vertical="center" wrapText="1"/>
    </xf>
    <xf numFmtId="0" fontId="56" fillId="0" borderId="1" xfId="0" applyFont="1" applyBorder="1" applyAlignment="1">
      <alignment horizontal="left" vertical="center" wrapText="1"/>
    </xf>
    <xf numFmtId="0" fontId="58" fillId="3" borderId="5" xfId="2" applyNumberFormat="1" applyFont="1" applyFill="1" applyBorder="1" applyAlignment="1">
      <alignment horizontal="left" vertical="center"/>
    </xf>
    <xf numFmtId="0" fontId="46" fillId="3" borderId="5"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3" xfId="0" applyNumberFormat="1" applyFont="1" applyFill="1" applyBorder="1" applyAlignment="1">
      <alignment horizontal="left" vertical="center"/>
    </xf>
    <xf numFmtId="164" fontId="18" fillId="10" borderId="1" xfId="0" applyNumberFormat="1" applyFont="1" applyFill="1" applyBorder="1" applyAlignment="1" applyProtection="1">
      <alignment horizontal="left" vertical="center"/>
    </xf>
    <xf numFmtId="0" fontId="50" fillId="10" borderId="3" xfId="1" applyFont="1" applyFill="1" applyBorder="1" applyAlignment="1">
      <alignment vertical="top" shrinkToFit="1"/>
    </xf>
    <xf numFmtId="0" fontId="8" fillId="0" borderId="3" xfId="1" applyBorder="1" applyAlignment="1">
      <alignment vertical="top" wrapText="1"/>
    </xf>
    <xf numFmtId="0" fontId="9" fillId="0" borderId="3" xfId="1" applyFont="1" applyBorder="1" applyAlignment="1">
      <alignment vertical="top" wrapText="1"/>
    </xf>
    <xf numFmtId="0" fontId="9" fillId="5" borderId="3" xfId="1" applyFont="1" applyFill="1" applyBorder="1" applyAlignment="1">
      <alignment vertical="top" wrapText="1"/>
    </xf>
    <xf numFmtId="0" fontId="9" fillId="6" borderId="3" xfId="1" applyFont="1" applyFill="1" applyBorder="1" applyAlignment="1">
      <alignment vertical="top" wrapText="1"/>
    </xf>
    <xf numFmtId="0" fontId="9" fillId="7" borderId="3" xfId="1" applyFont="1" applyFill="1" applyBorder="1" applyAlignment="1">
      <alignment vertical="top" wrapText="1"/>
    </xf>
    <xf numFmtId="0" fontId="9" fillId="8" borderId="3" xfId="1" applyFont="1" applyFill="1" applyBorder="1" applyAlignment="1">
      <alignment vertical="top" wrapText="1"/>
    </xf>
    <xf numFmtId="0" fontId="9" fillId="9" borderId="3" xfId="1" applyFont="1" applyFill="1" applyBorder="1" applyAlignment="1">
      <alignment vertical="top" wrapText="1"/>
    </xf>
    <xf numFmtId="0" fontId="10" fillId="0" borderId="3" xfId="1" applyFont="1" applyBorder="1" applyAlignment="1">
      <alignment vertical="top" wrapText="1"/>
    </xf>
    <xf numFmtId="0" fontId="36" fillId="0" borderId="3" xfId="0" applyFont="1" applyBorder="1">
      <alignment vertical="top" wrapText="1"/>
    </xf>
    <xf numFmtId="0" fontId="36" fillId="0" borderId="3" xfId="0" applyFont="1" applyBorder="1" applyAlignment="1">
      <alignment horizontal="right" vertical="top" wrapText="1"/>
    </xf>
    <xf numFmtId="0" fontId="59" fillId="0" borderId="3" xfId="0" applyFont="1" applyBorder="1">
      <alignment vertical="top" wrapText="1"/>
    </xf>
    <xf numFmtId="0" fontId="36" fillId="0" borderId="3" xfId="0" applyFont="1" applyBorder="1" applyAlignment="1">
      <alignment vertical="center"/>
    </xf>
    <xf numFmtId="0" fontId="36" fillId="0" borderId="3" xfId="0" applyFont="1" applyBorder="1" applyAlignment="1">
      <alignment wrapText="1"/>
    </xf>
    <xf numFmtId="0" fontId="59" fillId="0" borderId="3" xfId="0" applyFont="1" applyBorder="1" applyAlignment="1">
      <alignment wrapText="1"/>
    </xf>
    <xf numFmtId="0" fontId="60" fillId="0" borderId="3" xfId="0" applyFont="1" applyBorder="1" applyAlignment="1">
      <alignment wrapText="1"/>
    </xf>
    <xf numFmtId="0" fontId="10" fillId="0" borderId="0" xfId="0" applyFont="1">
      <alignment vertical="top" wrapText="1"/>
    </xf>
    <xf numFmtId="0" fontId="1" fillId="0" borderId="0" xfId="3" applyFont="1" applyAlignment="1">
      <alignment vertical="center" wrapText="1"/>
    </xf>
    <xf numFmtId="0" fontId="7" fillId="0" borderId="23" xfId="3" applyFont="1" applyBorder="1" applyAlignment="1">
      <alignment vertical="center"/>
    </xf>
    <xf numFmtId="0" fontId="16" fillId="10" borderId="1" xfId="0" applyNumberFormat="1" applyFont="1" applyFill="1" applyBorder="1" applyAlignment="1">
      <alignment horizontal="center" vertical="center" wrapText="1"/>
    </xf>
    <xf numFmtId="0" fontId="61" fillId="25" borderId="0" xfId="1" applyFont="1" applyFill="1"/>
    <xf numFmtId="0" fontId="10" fillId="26" borderId="3" xfId="1" applyFont="1" applyFill="1" applyBorder="1" applyAlignment="1">
      <alignment vertical="top" wrapText="1"/>
    </xf>
    <xf numFmtId="0" fontId="11" fillId="26" borderId="3" xfId="1" applyFont="1" applyFill="1" applyBorder="1" applyAlignment="1">
      <alignment vertical="top" wrapText="1"/>
    </xf>
    <xf numFmtId="0" fontId="36" fillId="26" borderId="3" xfId="0" applyFont="1" applyFill="1" applyBorder="1">
      <alignment vertical="top" wrapText="1"/>
    </xf>
    <xf numFmtId="0" fontId="32"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BF0000"/>
      <color rgb="FF7ECCA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bestFit="1" customWidth="1"/>
    <col min="4" max="4" width="55.69921875" style="9" customWidth="1"/>
    <col min="5" max="5" width="32" style="10" customWidth="1"/>
    <col min="6" max="6" width="30.69921875" style="1" customWidth="1"/>
    <col min="7" max="7" width="18.09765625" style="1" customWidth="1"/>
    <col min="8" max="8" width="16.59765625" style="1" hidden="1" customWidth="1"/>
    <col min="9" max="9" width="18.09765625" style="35" hidden="1" customWidth="1"/>
    <col min="10" max="10" width="18.09765625" style="1" hidden="1" customWidth="1"/>
    <col min="11" max="11" width="4.5" style="1" hidden="1" customWidth="1"/>
    <col min="12" max="12" width="6.59765625" style="1" hidden="1" customWidth="1"/>
    <col min="13" max="16384" width="6.59765625" hidden="1"/>
  </cols>
  <sheetData>
    <row r="1" spans="1:9" ht="0" hidden="1" customHeight="1" x14ac:dyDescent="0.2">
      <c r="A1" t="s">
        <v>1448</v>
      </c>
    </row>
    <row r="2" spans="1:9" ht="36" customHeight="1" x14ac:dyDescent="0.2">
      <c r="A2" s="273" t="s">
        <v>1516</v>
      </c>
      <c r="B2" s="273"/>
      <c r="C2" s="274"/>
      <c r="D2" s="322"/>
      <c r="E2" s="275"/>
      <c r="F2" s="275" t="str">
        <f>'Auto Responses'!$A$36</f>
        <v>Version 4.1.5</v>
      </c>
    </row>
    <row r="3" spans="1:9" s="1" customFormat="1" ht="29.1" customHeight="1" x14ac:dyDescent="0.2">
      <c r="A3" s="276" t="s">
        <v>940</v>
      </c>
      <c r="B3" s="277"/>
      <c r="C3" s="339"/>
      <c r="D3" s="323"/>
      <c r="E3" s="278"/>
      <c r="F3" s="279"/>
      <c r="I3" s="35"/>
    </row>
    <row r="4" spans="1:9" s="1" customFormat="1" ht="36" customHeight="1" x14ac:dyDescent="0.2">
      <c r="A4" s="280" t="s">
        <v>865</v>
      </c>
      <c r="B4" s="281"/>
      <c r="C4" s="282"/>
      <c r="D4" s="283"/>
      <c r="E4" s="284"/>
      <c r="F4" s="284"/>
      <c r="I4" s="35"/>
    </row>
    <row r="5" spans="1:9" s="1" customFormat="1" ht="19.5" customHeight="1" x14ac:dyDescent="0.2">
      <c r="A5" s="285" t="str">
        <f>HLOOKUP($A$4,'Auto Responses'!$D$2:$D$8,2,0)&amp;""</f>
        <v>1. Complete the "Start Here" tab and review the "Required Questions" guidance to find the other sections are required for your product or service.</v>
      </c>
      <c r="B5" s="286"/>
      <c r="C5" s="287"/>
      <c r="D5" s="324"/>
      <c r="E5" s="286"/>
      <c r="F5" s="288"/>
      <c r="I5" s="35"/>
    </row>
    <row r="6" spans="1:9" s="1" customFormat="1" ht="19.5" customHeight="1" x14ac:dyDescent="0.2">
      <c r="A6" s="285" t="str">
        <f>HLOOKUP($A$4,'Auto Responses'!$D$2:$D$8,3,0)&amp;""</f>
        <v>2. Complete the "Organization" tab and the applicable questions in each of the next 5 tabs (Product through Privacy) that apply, based on your answers to the "Required Questions."</v>
      </c>
      <c r="B6" s="286"/>
      <c r="C6" s="287"/>
      <c r="D6" s="324"/>
      <c r="E6" s="286"/>
      <c r="F6" s="289"/>
      <c r="I6" s="35"/>
    </row>
    <row r="7" spans="1:9" s="1" customFormat="1" ht="19.5" customHeight="1" x14ac:dyDescent="0.2">
      <c r="A7" s="285" t="str">
        <f>HLOOKUP($A$4,'Auto Responses'!$D$2:$D$8,4,0)&amp;""</f>
        <v xml:space="preserve">3. Guidance in column E may change based on your answers to prompt details in "Additional Information." If leaving an answer blank, you must also state why in "Additional Information". </v>
      </c>
      <c r="B7" s="286"/>
      <c r="C7" s="287"/>
      <c r="D7" s="324"/>
      <c r="E7" s="286"/>
      <c r="F7" s="289"/>
      <c r="I7" s="35"/>
    </row>
    <row r="8" spans="1:9" s="1" customFormat="1" ht="19.5" customHeight="1" x14ac:dyDescent="0.2">
      <c r="A8" s="285" t="str">
        <f>HLOOKUP($A$4,'Auto Responses'!$D$2:$D$8,5,0)&amp;""</f>
        <v>4. DO NOT complete any fields in the "Evaluation" sheets or the "Analyst Notes" column.</v>
      </c>
      <c r="B8" s="286"/>
      <c r="C8" s="287"/>
      <c r="D8" s="324"/>
      <c r="E8" s="286"/>
      <c r="F8" s="289"/>
      <c r="I8" s="35"/>
    </row>
    <row r="9" spans="1:9" s="1" customFormat="1" ht="19.5" customHeight="1" x14ac:dyDescent="0.2">
      <c r="A9" s="285" t="str">
        <f>HLOOKUP($A$4,'Auto Responses'!$D$2:$D$8,6,0)&amp;""</f>
        <v>5. Return the completed file to institutions.</v>
      </c>
      <c r="B9" s="286"/>
      <c r="C9" s="287"/>
      <c r="D9" s="324"/>
      <c r="E9" s="286"/>
      <c r="F9" s="289"/>
      <c r="I9" s="35"/>
    </row>
    <row r="10" spans="1:9" s="1" customFormat="1" ht="19.5" customHeight="1" x14ac:dyDescent="0.2">
      <c r="A10" s="290" t="str">
        <f>HLOOKUP($A$4,'Auto Responses'!$D$2:$D$8,7,0)&amp;""</f>
        <v>* Denotes critical questions. Critical questions are those deemed most important to institutions by higher education volunteers.</v>
      </c>
      <c r="B10" s="286"/>
      <c r="C10" s="287"/>
      <c r="D10" s="324"/>
      <c r="E10" s="286"/>
      <c r="F10" s="289"/>
      <c r="I10" s="35"/>
    </row>
    <row r="11" spans="1:9" s="1" customFormat="1" ht="19.5" customHeight="1" x14ac:dyDescent="0.2">
      <c r="A11" s="291" t="str">
        <f>HLOOKUP($A$4,'Auto Responses'!$D$2:$D$9,8,0)&amp;""</f>
        <v>For full instructions, please visit educause.edu/HECVAT</v>
      </c>
      <c r="B11" s="286"/>
      <c r="C11" s="287"/>
      <c r="D11" s="324"/>
      <c r="E11" s="286"/>
      <c r="F11" s="292"/>
      <c r="I11" s="35"/>
    </row>
    <row r="12" spans="1:9" s="1" customFormat="1" ht="36" customHeight="1" x14ac:dyDescent="0.2">
      <c r="A12" s="293" t="str">
        <f>VLOOKUP(LEFT($A13,4),'Auto Responses'!$N$4:$O$38,2,0)&amp;""</f>
        <v xml:space="preserve"> General Information</v>
      </c>
      <c r="B12" s="281"/>
      <c r="C12" s="294"/>
      <c r="D12" s="325"/>
      <c r="E12" s="295"/>
      <c r="F12" s="295"/>
      <c r="I12" s="35"/>
    </row>
    <row r="13" spans="1:9" s="1" customFormat="1" ht="22.35" customHeight="1" x14ac:dyDescent="0.2">
      <c r="A13" s="19" t="s">
        <v>21</v>
      </c>
      <c r="B13" s="20" t="str">
        <f>VLOOKUP($A13,Questions!$A$2:$X$333,2,0)&amp;""</f>
        <v>Solution Provider Name</v>
      </c>
      <c r="C13" s="76"/>
      <c r="D13" s="32"/>
      <c r="E13" s="32"/>
      <c r="F13" s="50"/>
      <c r="I13" s="35"/>
    </row>
    <row r="14" spans="1:9" s="1" customFormat="1" ht="22.35" customHeight="1" x14ac:dyDescent="0.2">
      <c r="A14" s="19" t="s">
        <v>24</v>
      </c>
      <c r="B14" s="20" t="str">
        <f>VLOOKUP($A14,Questions!$A$2:$X$333,2,0)&amp;""</f>
        <v>Solution Name</v>
      </c>
      <c r="C14" s="76"/>
      <c r="D14" s="32"/>
      <c r="E14" s="33"/>
      <c r="F14" s="50"/>
      <c r="I14" s="35"/>
    </row>
    <row r="15" spans="1:9" s="1" customFormat="1" ht="22.35" customHeight="1" x14ac:dyDescent="0.2">
      <c r="A15" s="19" t="s">
        <v>25</v>
      </c>
      <c r="B15" s="20" t="str">
        <f>VLOOKUP($A15,Questions!$A$2:$X$333,2,0)&amp;""</f>
        <v>Solution Description</v>
      </c>
      <c r="C15" s="76"/>
      <c r="D15" s="32"/>
      <c r="E15" s="33"/>
      <c r="F15" s="50"/>
      <c r="I15" s="35"/>
    </row>
    <row r="16" spans="1:9" s="1" customFormat="1" ht="22.35" customHeight="1" x14ac:dyDescent="0.2">
      <c r="A16" s="19" t="s">
        <v>26</v>
      </c>
      <c r="B16" s="20" t="str">
        <f>VLOOKUP($A16,Questions!$A$2:$X$333,2,0)&amp;""</f>
        <v>Solution Provider Contact Name</v>
      </c>
      <c r="C16" s="76"/>
      <c r="D16" s="32"/>
      <c r="E16" s="33"/>
      <c r="F16" s="50"/>
      <c r="I16" s="35"/>
    </row>
    <row r="17" spans="1:9" s="1" customFormat="1" ht="22.35" customHeight="1" x14ac:dyDescent="0.2">
      <c r="A17" s="19" t="s">
        <v>27</v>
      </c>
      <c r="B17" s="20" t="str">
        <f>VLOOKUP($A17,Questions!$A$2:$X$333,2,0)&amp;""</f>
        <v>Solution Provider Contact Title</v>
      </c>
      <c r="C17" s="76"/>
      <c r="D17" s="9"/>
      <c r="E17" s="33"/>
      <c r="F17" s="50"/>
      <c r="I17" s="35"/>
    </row>
    <row r="18" spans="1:9" s="1" customFormat="1" ht="22.35" customHeight="1" x14ac:dyDescent="0.2">
      <c r="A18" s="19" t="s">
        <v>28</v>
      </c>
      <c r="B18" s="20" t="str">
        <f>VLOOKUP($A18,Questions!$A$2:$X$333,2,0)&amp;""</f>
        <v>Solution Provider Contact Email</v>
      </c>
      <c r="C18" s="76"/>
      <c r="D18" s="32"/>
      <c r="E18" s="33"/>
      <c r="F18" s="50"/>
      <c r="I18" s="35"/>
    </row>
    <row r="19" spans="1:9" s="1" customFormat="1" ht="22.35" customHeight="1" x14ac:dyDescent="0.2">
      <c r="A19" s="19" t="s">
        <v>29</v>
      </c>
      <c r="B19" s="20" t="str">
        <f>VLOOKUP($A19,Questions!$A$2:$X$333,2,0)&amp;""</f>
        <v>Solution Provider Contact Phone Number</v>
      </c>
      <c r="C19" s="76"/>
      <c r="D19" s="32"/>
      <c r="E19" s="33"/>
      <c r="F19" s="50"/>
      <c r="I19" s="35"/>
    </row>
    <row r="20" spans="1:9" s="1" customFormat="1" ht="22.35" customHeight="1" x14ac:dyDescent="0.2">
      <c r="A20" s="19" t="s">
        <v>30</v>
      </c>
      <c r="B20" s="20" t="str">
        <f>VLOOKUP($A20,Questions!$A$2:$X$333,2,0)&amp;""</f>
        <v>Country of Company Headquarters</v>
      </c>
      <c r="C20" s="76"/>
      <c r="D20" s="32"/>
      <c r="E20" s="33"/>
      <c r="F20" s="50"/>
      <c r="I20" s="35"/>
    </row>
    <row r="21" spans="1:9" s="1" customFormat="1" ht="22.35" customHeight="1" x14ac:dyDescent="0.2">
      <c r="A21" s="19" t="s">
        <v>32</v>
      </c>
      <c r="B21" s="20" t="str">
        <f>VLOOKUP($A21,Questions!$A$2:$X$333,2,0)&amp;""</f>
        <v>Employee Work Locations (all)</v>
      </c>
      <c r="C21" s="76"/>
      <c r="D21" s="32"/>
      <c r="E21" s="33"/>
      <c r="F21" s="50"/>
      <c r="I21" s="35"/>
    </row>
    <row r="22" spans="1:9" s="1" customFormat="1" ht="37.35" customHeight="1" thickBot="1" x14ac:dyDescent="0.25">
      <c r="A22" s="63" t="str">
        <f>VLOOKUP(LEFT($A23,4),'Auto Responses'!$N$4:$O$38,2,0)&amp;""</f>
        <v xml:space="preserve"> Company Information</v>
      </c>
      <c r="B22" s="22"/>
      <c r="C22" s="13" t="s">
        <v>1497</v>
      </c>
      <c r="D22" s="13" t="s">
        <v>72</v>
      </c>
      <c r="E22" s="31" t="s">
        <v>848</v>
      </c>
      <c r="F22" s="200" t="s">
        <v>849</v>
      </c>
      <c r="I22" s="35"/>
    </row>
    <row r="23" spans="1:9" s="1" customFormat="1" ht="55.5" customHeight="1" x14ac:dyDescent="0.2">
      <c r="A23" s="19" t="s">
        <v>35</v>
      </c>
      <c r="B23" s="18" t="str">
        <f>VLOOKUP($A23,Questions!$A$2:$X$333,2,0)&amp;""</f>
        <v>Do you have a dedicated software and system development team(s) (e.g., customer support, implementation, product management, etc.)?*</v>
      </c>
      <c r="C23" s="21"/>
      <c r="D23" s="313"/>
      <c r="E23" s="167" t="str">
        <f>IF($C23='Auto Responses'!$J$3,VLOOKUP($A23,Questions!$A$2:$X$333,17,0)&amp;"",IF($C23='Auto Responses'!$J$4,VLOOKUP($A23,Questions!$A$2:$X$333,16,0)&amp;"",VLOOKUP($A23,Questions!$A$2:$X$333,15,0)&amp;""))</f>
        <v/>
      </c>
      <c r="F23" s="201" t="str">
        <f>VLOOKUP($A23,'Institution Evaluation'!$A$56:$F$345,6,0)&amp;""</f>
        <v/>
      </c>
      <c r="I23" s="35"/>
    </row>
    <row r="24" spans="1:9" s="1" customFormat="1" ht="28.5" x14ac:dyDescent="0.2">
      <c r="A24" s="19" t="s">
        <v>42</v>
      </c>
      <c r="B24" s="18" t="str">
        <f>VLOOKUP($A24,Questions!$A$2:$X$333,2,0)&amp;""</f>
        <v>Describe your organization’s business background and ownership structure, including all parent and subsidiary relationships.</v>
      </c>
      <c r="C24" s="337"/>
      <c r="D24" s="313"/>
      <c r="E24" s="167" t="str">
        <f>IF($C24='Auto Responses'!$J$3,VLOOKUP($A24,Questions!$A$2:$X$333,17,0)&amp;"",IF($C24='Auto Responses'!$J$4,VLOOKUP($A24,Questions!$A$2:$X$333,16,0)&amp;"",VLOOKUP($A24,Questions!$A$2:$X$333,15,0)&amp;""))</f>
        <v>Include circumstances that may involve offshoring or multinational agreements.</v>
      </c>
      <c r="F24" s="201" t="str">
        <f>VLOOKUP($A24,'Institution Evaluation'!$A$56:$F$345,6,0)&amp;""</f>
        <v/>
      </c>
      <c r="I24" s="35"/>
    </row>
    <row r="25" spans="1:9" s="1" customFormat="1" ht="39.75" customHeight="1" x14ac:dyDescent="0.2">
      <c r="A25" s="19" t="s">
        <v>44</v>
      </c>
      <c r="B25" s="18" t="str">
        <f>VLOOKUP($A25,Questions!$A$2:$X$333,2,0)&amp;""</f>
        <v>Have you operated without unplanned disruptions to this solution in the past 12 months?</v>
      </c>
      <c r="C25" s="21"/>
      <c r="D25" s="313"/>
      <c r="E25" s="167" t="str">
        <f>IF($C25='Auto Responses'!$J$3,VLOOKUP($A25,Questions!$A$2:$X$333,17,0)&amp;"",IF($C25='Auto Responses'!$J$4,VLOOKUP($A25,Questions!$A$2:$X$333,16,0)&amp;"",VLOOKUP($A25,Questions!$A$2:$X$333,15,0)&amp;""))</f>
        <v/>
      </c>
      <c r="F25" s="201" t="str">
        <f>VLOOKUP($A25,'Institution Evaluation'!$A$56:$F$345,6,0)&amp;""</f>
        <v/>
      </c>
      <c r="I25" s="35"/>
    </row>
    <row r="26" spans="1:9" s="1" customFormat="1" ht="49.5" customHeight="1" x14ac:dyDescent="0.2">
      <c r="A26" s="19" t="s">
        <v>45</v>
      </c>
      <c r="B26" s="18" t="str">
        <f>VLOOKUP($A26,Questions!$A$2:$X$333,2,0)&amp;""</f>
        <v>Do you have a dedicated information security staff or office?</v>
      </c>
      <c r="C26" s="21"/>
      <c r="D26" s="313"/>
      <c r="E26" s="167" t="str">
        <f>IF($C26='Auto Responses'!$J$3,VLOOKUP($A26,Questions!$A$2:$X$333,17,0)&amp;"",IF($C26='Auto Responses'!$J$4,VLOOKUP($A26,Questions!$A$2:$X$333,16,0)&amp;"",VLOOKUP($A26,Questions!$A$2:$X$333,15,0)&amp;""))</f>
        <v/>
      </c>
      <c r="F26" s="201" t="str">
        <f>VLOOKUP($A26,'Institution Evaluation'!$A$56:$F$345,6,0)&amp;""</f>
        <v/>
      </c>
      <c r="I26" s="35"/>
    </row>
    <row r="27" spans="1:9" s="1" customFormat="1" ht="43.5" thickBot="1" x14ac:dyDescent="0.25">
      <c r="A27" s="19" t="s">
        <v>47</v>
      </c>
      <c r="B27" s="18" t="str">
        <f>VLOOKUP($A27,Questions!$A$2:$X$333,2,0)&amp;""</f>
        <v>Use this area to share information about your environment that will assist those who are assessing your company's data security program.</v>
      </c>
      <c r="C27" s="336"/>
      <c r="D27" s="313"/>
      <c r="E27" s="167" t="str">
        <f>IF($C27='Auto Responses'!$J$3,VLOOKUP($A27,Questions!$A$2:$X$333,17,0)&amp;"",IF($C27='Auto Responses'!$J$4,VLOOKUP($A27,Questions!$A$2:$X$333,16,0)&amp;"",VLOOKUP($A27,Questions!$A$2:$X$333,15,0)&amp;""))</f>
        <v>Share any details that would help information security analysts assess your solution.</v>
      </c>
      <c r="F27" s="201" t="str">
        <f>VLOOKUP($A27,'Institution Evaluation'!$A$56:$F$345,6,0)&amp;""</f>
        <v/>
      </c>
      <c r="G27" s="238" t="s">
        <v>1449</v>
      </c>
      <c r="I27" s="35"/>
    </row>
    <row r="28" spans="1:9" s="1" customFormat="1" ht="37.35" customHeight="1" thickBot="1" x14ac:dyDescent="0.25">
      <c r="A28" s="63" t="str">
        <f>VLOOKUP(LEFT($A29,4),'Auto Responses'!$N$4:$O$38,2,0)&amp;""</f>
        <v xml:space="preserve"> Required Questions</v>
      </c>
      <c r="B28" s="22"/>
      <c r="C28" s="13" t="s">
        <v>1497</v>
      </c>
      <c r="D28" s="13" t="s">
        <v>72</v>
      </c>
      <c r="E28" s="31" t="s">
        <v>848</v>
      </c>
      <c r="F28" s="187" t="s">
        <v>849</v>
      </c>
      <c r="I28" s="35"/>
    </row>
    <row r="29" spans="1:9" s="1" customFormat="1" ht="48" customHeight="1" x14ac:dyDescent="0.2">
      <c r="A29" s="19" t="s">
        <v>48</v>
      </c>
      <c r="B29" s="18" t="str">
        <f>VLOOKUP($A29,Questions!$A$2:$X$333,2,0)&amp;""</f>
        <v>Are you offering a cloud-based product?</v>
      </c>
      <c r="C29" s="21"/>
      <c r="D29" s="39"/>
      <c r="E29" s="167" t="str">
        <f>IF($C29='Auto Responses'!$J$3,VLOOKUP($A29,Questions!$A$2:$X$333,17,0)&amp;"",IF($C29='Auto Responses'!$J$4,VLOOKUP($A29,Questions!$A$2:$X$333,16,0)&amp;"",VLOOKUP($A29,Questions!$A$2:$X$333,15,0)&amp;""))</f>
        <v>If you are only offering a service, or are offering a product that is not cloud-based, answer "no".</v>
      </c>
      <c r="F29" s="201" t="str">
        <f>VLOOKUP($A29,'Institution Evaluation'!$A$56:$F$345,6,0)&amp;""</f>
        <v/>
      </c>
      <c r="I29" s="35"/>
    </row>
    <row r="30" spans="1:9" s="1" customFormat="1" ht="58.5" customHeight="1" x14ac:dyDescent="0.2">
      <c r="A30" s="19" t="s">
        <v>51</v>
      </c>
      <c r="B30" s="18" t="str">
        <f>VLOOKUP($A30,Questions!$A$2:$X$333,2,0)&amp;""</f>
        <v>Does your product or service have an interface?</v>
      </c>
      <c r="C30" s="21"/>
      <c r="D30" s="39"/>
      <c r="E30" s="167" t="str">
        <f>IF($C30='Auto Responses'!$J$3,VLOOKUP($A30,Questions!$A$2:$X$333,17,0)&amp;"",IF($C30='Auto Responses'!$J$4,VLOOKUP($A30,Questions!$A$2:$X$333,16,0)&amp;"",VLOOKUP($A30,Questions!$A$2:$X$333,15,0)&amp;""))</f>
        <v>This includes any interface for end users and interfaces used by administrators at the institution.</v>
      </c>
      <c r="F30" s="201" t="str">
        <f>VLOOKUP($A30,'Institution Evaluation'!$A$56:$F$345,6,0)&amp;""</f>
        <v/>
      </c>
      <c r="I30" s="35"/>
    </row>
    <row r="31" spans="1:9" s="1" customFormat="1" ht="54" customHeight="1" x14ac:dyDescent="0.2">
      <c r="A31" s="19" t="s">
        <v>54</v>
      </c>
      <c r="B31" s="18" t="str">
        <f>VLOOKUP($A31,Questions!$A$2:$X$333,2,0)&amp;""</f>
        <v>Are you providing consulting services?</v>
      </c>
      <c r="C31" s="21"/>
      <c r="D31" s="39"/>
      <c r="E31" s="167" t="str">
        <f>IF($C31='Auto Responses'!$J$3,VLOOKUP($A31,Questions!$A$2:$X$333,17,0)&amp;"",IF($C31='Auto Responses'!$J$4,VLOOKUP($A31,Questions!$A$2:$X$333,16,0)&amp;"",VLOOKUP($A31,Questions!$A$2:$X$333,15,0)&amp;""))</f>
        <v/>
      </c>
      <c r="F31" s="201" t="str">
        <f>VLOOKUP($A31,'Institution Evaluation'!$A$56:$F$345,6,0)&amp;""</f>
        <v/>
      </c>
      <c r="I31" s="35"/>
    </row>
    <row r="32" spans="1:9" s="1" customFormat="1" ht="54" customHeight="1" x14ac:dyDescent="0.2">
      <c r="A32" s="19" t="s">
        <v>58</v>
      </c>
      <c r="B32" s="18" t="str">
        <f>VLOOKUP($A32,Questions!$A$2:$X$333,2,0)&amp;""</f>
        <v>Does your solution have AI features, or are there plans to implement AI features in the next 12 months?</v>
      </c>
      <c r="C32" s="21"/>
      <c r="D32" s="39"/>
      <c r="E32" s="167" t="str">
        <f>IF($C32='Auto Responses'!$J$3,VLOOKUP($A32,Questions!$A$2:$X$333,17,0)&amp;"",IF($C32='Auto Responses'!$J$4,VLOOKUP($A32,Questions!$A$2:$X$333,16,0)&amp;"",VLOOKUP($A32,Questions!$A$2:$X$333,15,0)&amp;""))</f>
        <v/>
      </c>
      <c r="F32" s="201" t="str">
        <f>VLOOKUP($A32,'Institution Evaluation'!$A$56:$F$345,6,0)&amp;""</f>
        <v/>
      </c>
      <c r="I32" s="35"/>
    </row>
    <row r="33" spans="1:10" s="1" customFormat="1" ht="54" customHeight="1" x14ac:dyDescent="0.2">
      <c r="A33" s="19" t="s">
        <v>61</v>
      </c>
      <c r="B33" s="18" t="str">
        <f>VLOOKUP($A33,Questions!$A$2:$X$333,2,0)&amp;""</f>
        <v>Does your solution process protected health information (PHI) or any data covered by the Health Insurance Portability and Accountability Act (HIPAA)?</v>
      </c>
      <c r="C33" s="21"/>
      <c r="D33" s="39"/>
      <c r="E33" s="167" t="str">
        <f>IF($C33='Auto Responses'!$J$3,VLOOKUP($A33,Questions!$A$2:$X$333,17,0)&amp;"",IF($C33='Auto Responses'!$J$4,VLOOKUP($A33,Questions!$A$2:$X$333,16,0)&amp;"",VLOOKUP($A33,Questions!$A$2:$X$333,15,0)&amp;""))</f>
        <v>Answer "yes" if your solution handles personal health information (PHI), either directly or via a third party.</v>
      </c>
      <c r="F33" s="201" t="str">
        <f>VLOOKUP($A33,'Institution Evaluation'!$A$56:$F$345,6,0)&amp;""</f>
        <v/>
      </c>
      <c r="I33" s="35"/>
    </row>
    <row r="34" spans="1:10" s="1" customFormat="1" ht="54" customHeight="1" x14ac:dyDescent="0.2">
      <c r="A34" s="19" t="s">
        <v>64</v>
      </c>
      <c r="B34" s="18" t="str">
        <f>VLOOKUP($A34,Questions!$A$2:$X$333,2,0)&amp;""</f>
        <v>Is the solution designed to process, store, or transmit credit card information?</v>
      </c>
      <c r="C34" s="21"/>
      <c r="D34" s="39"/>
      <c r="E34" s="167" t="str">
        <f>IF($C34='Auto Responses'!$J$3,VLOOKUP($A34,Questions!$A$2:$X$333,17,0)&amp;"",IF($C34='Auto Responses'!$J$4,VLOOKUP($A34,Questions!$A$2:$X$333,16,0)&amp;"",VLOOKUP($A34,Questions!$A$2:$X$333,15,0)&amp;""))</f>
        <v>Answer yes if your solution handles PCI (credit card) information, either directly or via a third party.</v>
      </c>
      <c r="F34" s="201" t="str">
        <f>VLOOKUP($A34,'Institution Evaluation'!$A$56:$F$345,6,0)&amp;""</f>
        <v/>
      </c>
      <c r="I34" s="35"/>
    </row>
    <row r="35" spans="1:10" s="1" customFormat="1" ht="66" customHeight="1" x14ac:dyDescent="0.2">
      <c r="A35" s="19" t="s">
        <v>67</v>
      </c>
      <c r="B35" s="18"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1"/>
      <c r="D35" s="39"/>
      <c r="E35" s="167" t="str">
        <f>IF($C35='Auto Responses'!$J$3,VLOOKUP($A35,Questions!$A$2:$X$333,17,0)&amp;"",IF($C35='Auto Responses'!$J$4,VLOOKUP($A35,Questions!$A$2:$X$333,16,0)&amp;"",VLOOKUP($A35,Questions!$A$2:$X$333,15,0)&amp;""))</f>
        <v/>
      </c>
      <c r="F35" s="201" t="str">
        <f>VLOOKUP($A35,'Institution Evaluation'!$A$56:$F$345,6,0)&amp;""</f>
        <v/>
      </c>
      <c r="I35" s="35"/>
    </row>
    <row r="36" spans="1:10" s="1" customFormat="1" ht="63.75" customHeight="1" x14ac:dyDescent="0.2">
      <c r="A36" s="155" t="s">
        <v>968</v>
      </c>
      <c r="B36" s="18" t="str">
        <f>VLOOKUP($A36,Questions!$A$2:$X$333,2,0)&amp;""</f>
        <v>Does your solution have access to personal or institutional data?</v>
      </c>
      <c r="C36" s="21"/>
      <c r="D36" s="39"/>
      <c r="E36" s="167" t="str">
        <f>IF($C36='Auto Responses'!$J$3,VLOOKUP($A36,Questions!$A$2:$X$333,17,0)&amp;"",IF($C36='Auto Responses'!$J$4,VLOOKUP($A36,Questions!$A$2:$X$333,16,0)&amp;"",VLOOKUP($A36,Questions!$A$2:$X$333,15,0)&amp;""))</f>
        <v>This includes patient data, student data, employment data, human research data, financial data, etc.</v>
      </c>
      <c r="F36" s="201" t="str">
        <f>VLOOKUP($A36,'Institution Evaluation'!$A$56:$F$345,6,0)&amp;""</f>
        <v/>
      </c>
      <c r="G36" s="238" t="s">
        <v>1449</v>
      </c>
      <c r="H36" s="35"/>
      <c r="J36" s="35"/>
    </row>
    <row r="37" spans="1:10" s="171" customFormat="1" ht="63.75" customHeight="1" x14ac:dyDescent="0.2">
      <c r="A37" s="245" t="s">
        <v>1467</v>
      </c>
      <c r="B37" s="253"/>
      <c r="C37" s="254"/>
      <c r="D37" s="255"/>
      <c r="E37" s="256"/>
      <c r="F37" s="257"/>
      <c r="G37" s="258"/>
      <c r="H37" s="172"/>
      <c r="J37" s="172"/>
    </row>
    <row r="38" spans="1:10" ht="24.75" customHeight="1" x14ac:dyDescent="0.2">
      <c r="A38" s="267" t="s">
        <v>1507</v>
      </c>
    </row>
    <row r="39" spans="1:10" ht="15" hidden="1" customHeight="1" x14ac:dyDescent="0.2"/>
    <row r="74" ht="15" hidden="1" customHeight="1" x14ac:dyDescent="0.2"/>
    <row r="75" ht="15" hidden="1" customHeight="1" x14ac:dyDescent="0.2"/>
  </sheetData>
  <phoneticPr fontId="26"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http://www.educause.edu/HECVAT" xr:uid="{C8C809B9-E9A3-4614-BD81-E36A46E9EC44}"/>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43AC80-4E0C-4331-B186-AF166D479850}">
          <x14:formula1>
            <xm:f>'Auto Responses'!$J$3:$J$4</xm:f>
          </x14:formula1>
          <xm:sqref>C29:C37 C25:C26</xm:sqref>
        </x14:dataValidation>
        <x14:dataValidation type="list" allowBlank="1" showInputMessage="1" showErrorMessage="1" xr:uid="{16A53367-ED0A-4B2E-B21D-CCE0E7E27FDD}">
          <x14:formula1>
            <xm:f>'Auto Responses'!$J$3:$J$5</xm:f>
          </x14:formula1>
          <xm:sqref>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5" zeroHeight="1" x14ac:dyDescent="0.2"/>
  <cols>
    <col min="1" max="1" width="8.09765625" style="55" customWidth="1"/>
    <col min="2" max="2" width="21.69921875" style="55" customWidth="1"/>
    <col min="3" max="3" width="27.69921875" style="55" customWidth="1"/>
    <col min="4" max="4" width="21.5" style="55" bestFit="1" customWidth="1"/>
    <col min="5" max="5" width="21.3984375" style="55" bestFit="1" customWidth="1"/>
    <col min="6" max="6" width="17" style="55" customWidth="1"/>
    <col min="7" max="7" width="2.19921875" style="55" customWidth="1"/>
    <col min="8" max="8" width="6.5" style="55" customWidth="1"/>
    <col min="9" max="9" width="8.3984375" style="55" bestFit="1" customWidth="1"/>
    <col min="10" max="10" width="31.09765625" style="55" customWidth="1"/>
    <col min="11" max="13" width="22.69921875" style="55" customWidth="1"/>
    <col min="14" max="14" width="8.5" style="55" customWidth="1"/>
    <col min="15" max="15" width="8.296875" style="55" hidden="1" customWidth="1"/>
    <col min="16" max="16" width="8.19921875" style="55" hidden="1" customWidth="1"/>
    <col min="17" max="17" width="8.3984375" style="55" hidden="1" customWidth="1"/>
    <col min="18" max="24" width="8.5" style="55" hidden="1" customWidth="1"/>
    <col min="25" max="25" width="8.3984375" style="55" hidden="1" customWidth="1"/>
    <col min="26" max="26" width="8.296875" style="55" hidden="1" customWidth="1"/>
    <col min="27" max="28" width="8.5" style="55" hidden="1" customWidth="1"/>
    <col min="29" max="29" width="8.19921875" style="55" hidden="1" customWidth="1"/>
    <col min="30" max="30" width="8.5" style="55" hidden="1" customWidth="1"/>
    <col min="31" max="32" width="8.3984375" style="55" hidden="1" customWidth="1"/>
    <col min="33" max="34" width="8.5" style="55" hidden="1" customWidth="1"/>
    <col min="35" max="35" width="10.59765625" style="55" hidden="1" customWidth="1"/>
    <col min="36" max="43" width="8.5" style="55" hidden="1" customWidth="1"/>
    <col min="44" max="46" width="8.3984375" style="55" hidden="1" customWidth="1"/>
    <col min="47" max="47" width="8.5" style="55" hidden="1" customWidth="1"/>
    <col min="48" max="48" width="8.3984375" style="55" hidden="1" customWidth="1"/>
    <col min="49" max="53" width="8.5" style="55" hidden="1" customWidth="1"/>
    <col min="54" max="54" width="8.69921875" style="55" hidden="1" customWidth="1"/>
    <col min="55" max="55" width="8.5" style="55" hidden="1" customWidth="1"/>
    <col min="56" max="56" width="8.296875" style="55" hidden="1" customWidth="1"/>
    <col min="57" max="57" width="8.5" style="55" hidden="1" customWidth="1"/>
    <col min="58" max="60" width="8.3984375" style="55" hidden="1" customWidth="1"/>
    <col min="61" max="63" width="8.5" style="55" hidden="1" customWidth="1"/>
    <col min="64" max="64" width="17.3984375" style="55" hidden="1" customWidth="1"/>
    <col min="65" max="68" width="8.5" style="55" hidden="1" customWidth="1"/>
    <col min="69" max="70" width="8.3984375" style="55" hidden="1" customWidth="1"/>
    <col min="71" max="90" width="8.5" style="55" hidden="1" customWidth="1"/>
    <col min="91" max="91" width="11.5" style="55" hidden="1" customWidth="1"/>
    <col min="92" max="94" width="8.5" style="55" hidden="1" customWidth="1"/>
    <col min="95" max="95" width="8.3984375" style="55" hidden="1" customWidth="1"/>
    <col min="96" max="96" width="11.3984375" style="55" hidden="1" customWidth="1"/>
    <col min="97" max="97" width="8.5" style="55" hidden="1" customWidth="1"/>
    <col min="98" max="98" width="8.19921875" style="55" hidden="1" customWidth="1"/>
    <col min="99" max="100" width="8.3984375" style="55" hidden="1" customWidth="1"/>
    <col min="101" max="102" width="8.5" style="55" hidden="1" customWidth="1"/>
    <col min="103" max="103" width="8.8984375" style="55" hidden="1" customWidth="1"/>
    <col min="104" max="109" width="8.5" style="55" hidden="1" customWidth="1"/>
    <col min="110" max="111" width="8.3984375" style="55" hidden="1" customWidth="1"/>
    <col min="112" max="114" width="8.5" style="55" hidden="1" customWidth="1"/>
    <col min="115" max="116" width="8.3984375" style="55" hidden="1" customWidth="1"/>
    <col min="117" max="117" width="8.5" style="55" hidden="1" customWidth="1"/>
    <col min="118" max="118" width="8.3984375" style="55" hidden="1" customWidth="1"/>
    <col min="119" max="119" width="10.8984375" style="55" hidden="1" customWidth="1"/>
    <col min="120" max="124" width="8.5" style="55" hidden="1" customWidth="1"/>
    <col min="125" max="125" width="9" style="55" hidden="1" customWidth="1"/>
    <col min="126" max="128" width="8.5" style="55" hidden="1" customWidth="1"/>
    <col min="129" max="129" width="8.3984375" style="55" hidden="1" customWidth="1"/>
    <col min="130" max="133" width="8.5" style="55" hidden="1" customWidth="1"/>
    <col min="134" max="134" width="10.59765625" style="55" hidden="1" customWidth="1"/>
    <col min="135" max="135" width="8.3984375" style="55" hidden="1" customWidth="1"/>
    <col min="136" max="138" width="8.5" style="55" hidden="1" customWidth="1"/>
    <col min="139" max="140" width="8.3984375" style="55" hidden="1" customWidth="1"/>
    <col min="141" max="145" width="8.5" style="55" hidden="1" customWidth="1"/>
    <col min="146" max="146" width="8.3984375" style="55" hidden="1" customWidth="1"/>
    <col min="147" max="148" width="8.5" style="55" hidden="1" customWidth="1"/>
    <col min="149" max="149" width="8.3984375" style="55" hidden="1" customWidth="1"/>
    <col min="150" max="151" width="8.5" style="55" hidden="1" customWidth="1"/>
    <col min="152" max="152" width="8.296875" style="55" hidden="1" customWidth="1"/>
    <col min="153" max="155" width="8.5" style="55" hidden="1" customWidth="1"/>
    <col min="156" max="156" width="8.3984375" style="55" hidden="1" customWidth="1"/>
    <col min="157" max="157" width="14.69921875" style="55" hidden="1" customWidth="1"/>
    <col min="158" max="158" width="8.3984375" style="55" hidden="1" customWidth="1"/>
    <col min="159" max="159" width="12.3984375" style="55" hidden="1" customWidth="1"/>
    <col min="160" max="161" width="8.5" style="55" hidden="1" customWidth="1"/>
    <col min="162" max="162" width="8.3984375" style="55" hidden="1" customWidth="1"/>
    <col min="163" max="164" width="8.5" style="55" hidden="1" customWidth="1"/>
    <col min="165" max="165" width="8" style="55" hidden="1" customWidth="1"/>
    <col min="166" max="166" width="8.5" style="55" hidden="1" customWidth="1"/>
    <col min="167" max="167" width="8.3984375" style="55" hidden="1" customWidth="1"/>
    <col min="168" max="169" width="8.5" style="55" hidden="1" customWidth="1"/>
    <col min="170" max="170" width="9" style="55" hidden="1" customWidth="1"/>
    <col min="171" max="171" width="8.19921875" style="55" hidden="1" customWidth="1"/>
    <col min="172" max="172" width="8.3984375" style="55" hidden="1" customWidth="1"/>
    <col min="173" max="173" width="8.5" style="55" hidden="1" customWidth="1"/>
    <col min="174" max="174" width="8.3984375" style="55" hidden="1" customWidth="1"/>
    <col min="175" max="175" width="8.5" style="55" hidden="1" customWidth="1"/>
    <col min="176" max="176" width="8.3984375" style="55" hidden="1" customWidth="1"/>
    <col min="177" max="177" width="8.296875" style="55" hidden="1" customWidth="1"/>
    <col min="178" max="179" width="8.5" style="55" hidden="1" customWidth="1"/>
    <col min="180" max="180" width="8.19921875" style="55" hidden="1" customWidth="1"/>
    <col min="181" max="181" width="8.3984375" style="55" hidden="1" customWidth="1"/>
    <col min="182" max="183" width="8.5" style="55" hidden="1" customWidth="1"/>
    <col min="184" max="184" width="11.8984375" style="55" hidden="1" customWidth="1"/>
    <col min="185" max="185" width="9.09765625" style="55" hidden="1" customWidth="1"/>
    <col min="186" max="186" width="8.5" style="55" hidden="1" customWidth="1"/>
    <col min="187" max="187" width="10.19921875" style="55" hidden="1" customWidth="1"/>
    <col min="188" max="190" width="8.5" style="55" hidden="1" customWidth="1"/>
    <col min="191" max="191" width="8.3984375" style="55" hidden="1" customWidth="1"/>
    <col min="192" max="192" width="8.5" style="55" hidden="1" customWidth="1"/>
    <col min="193" max="193" width="8.19921875" style="55" hidden="1" customWidth="1"/>
    <col min="194" max="194" width="8.3984375" style="55" hidden="1" customWidth="1"/>
    <col min="195" max="198" width="8.5" style="55" hidden="1" customWidth="1"/>
    <col min="199" max="201" width="8.3984375" style="55" hidden="1" customWidth="1"/>
    <col min="202" max="202" width="8.5" style="55" hidden="1" customWidth="1"/>
    <col min="203" max="206" width="8.3984375" style="55" hidden="1" customWidth="1"/>
    <col min="207" max="209" width="8.5" style="55" hidden="1" customWidth="1"/>
    <col min="210" max="210" width="8.09765625" style="55" hidden="1" customWidth="1"/>
    <col min="211" max="211" width="8.5" style="55" hidden="1" customWidth="1"/>
    <col min="212" max="213" width="8.3984375" style="55" hidden="1" customWidth="1"/>
    <col min="214" max="214" width="7.8984375" style="55" hidden="1" customWidth="1"/>
    <col min="215" max="216" width="8.5" style="55" hidden="1" customWidth="1"/>
    <col min="217" max="217" width="8.3984375" style="55" hidden="1" customWidth="1"/>
    <col min="218" max="219" width="8.5" style="55" hidden="1" customWidth="1"/>
    <col min="220" max="220" width="8.3984375" style="55" hidden="1" customWidth="1"/>
    <col min="221" max="221" width="8.19921875" style="55" hidden="1" customWidth="1"/>
    <col min="222" max="222" width="8.3984375" style="55" hidden="1" customWidth="1"/>
    <col min="223" max="224" width="8.5" style="55" hidden="1" customWidth="1"/>
    <col min="225" max="225" width="8.3984375" style="55" hidden="1" customWidth="1"/>
    <col min="226" max="227" width="8.5" style="55" hidden="1" customWidth="1"/>
    <col min="228" max="231" width="8.3984375" style="55" hidden="1" customWidth="1"/>
    <col min="232" max="233" width="8.5" style="55" hidden="1" customWidth="1"/>
    <col min="234" max="234" width="8.3984375" style="55" hidden="1" customWidth="1"/>
    <col min="235" max="235" width="8.296875" style="55" hidden="1" customWidth="1"/>
    <col min="236" max="236" width="8.3984375" style="55" hidden="1" customWidth="1"/>
    <col min="237" max="237" width="8.5" style="55" hidden="1" customWidth="1"/>
    <col min="238" max="238" width="8.296875" style="55" hidden="1" customWidth="1"/>
    <col min="239" max="242" width="8.3984375" style="55" hidden="1" customWidth="1"/>
    <col min="243" max="243" width="10.09765625" style="55" hidden="1" customWidth="1"/>
    <col min="244" max="244" width="8.3984375" style="55" hidden="1" customWidth="1"/>
    <col min="245" max="249" width="8.5" style="55" hidden="1" customWidth="1"/>
    <col min="250" max="250" width="8.3984375" style="55" hidden="1" customWidth="1"/>
    <col min="251" max="254" width="8.5" style="55" hidden="1" customWidth="1"/>
    <col min="255" max="256" width="8.3984375" style="55" hidden="1" customWidth="1"/>
    <col min="257" max="259" width="8.5" style="55" hidden="1" customWidth="1"/>
    <col min="260" max="261" width="8.3984375" style="55" hidden="1" customWidth="1"/>
    <col min="262" max="263" width="8.5" style="55" hidden="1" customWidth="1"/>
    <col min="264" max="264" width="8.296875" style="55" hidden="1" customWidth="1"/>
    <col min="265" max="265" width="8.5" style="55" hidden="1" customWidth="1"/>
    <col min="266" max="266" width="8.3984375" style="55" hidden="1" customWidth="1"/>
    <col min="267" max="267" width="8.5" style="55" hidden="1" customWidth="1"/>
    <col min="268" max="268" width="8.8984375" style="55" hidden="1" customWidth="1"/>
    <col min="269" max="269" width="10.3984375" style="55" hidden="1" customWidth="1"/>
    <col min="270" max="270" width="8.5" style="55" hidden="1" customWidth="1"/>
    <col min="271" max="273" width="8.3984375" style="55" hidden="1" customWidth="1"/>
    <col min="274" max="276" width="8.5" style="55" hidden="1" customWidth="1"/>
    <col min="277" max="277" width="8.296875" style="55" hidden="1" customWidth="1"/>
    <col min="278" max="278" width="8.3984375" style="55" hidden="1" customWidth="1"/>
    <col min="279" max="282" width="8.5" style="55" hidden="1" customWidth="1"/>
    <col min="283" max="283" width="8.296875" style="55" hidden="1" customWidth="1"/>
    <col min="284" max="284" width="8.3984375" style="55" hidden="1" customWidth="1"/>
    <col min="285" max="286" width="8.296875" style="55" hidden="1" customWidth="1"/>
    <col min="287" max="288" width="8.3984375" style="55" hidden="1" customWidth="1"/>
    <col min="289" max="295" width="8.5" style="55" hidden="1" customWidth="1"/>
    <col min="296" max="296" width="8.09765625" style="55" hidden="1" customWidth="1"/>
    <col min="297" max="297" width="8.5" style="55" hidden="1" customWidth="1"/>
    <col min="298" max="298" width="7.8984375" style="55" hidden="1" customWidth="1"/>
    <col min="299" max="300" width="8.5" style="55" hidden="1" customWidth="1"/>
    <col min="301" max="304" width="8.296875" style="55" hidden="1" customWidth="1"/>
    <col min="305" max="308" width="8.19921875" style="55" hidden="1" customWidth="1"/>
    <col min="309" max="309" width="7.59765625" style="55" hidden="1" customWidth="1"/>
    <col min="310" max="310" width="8.3984375" style="55" hidden="1" customWidth="1"/>
    <col min="311" max="311" width="8.296875" style="55" hidden="1" customWidth="1"/>
    <col min="312" max="313" width="8.3984375" style="55" hidden="1" customWidth="1"/>
    <col min="314" max="314" width="8.5" style="55" hidden="1" customWidth="1"/>
    <col min="315" max="315" width="8.3984375" style="55" hidden="1" customWidth="1"/>
    <col min="316" max="316" width="8.5" style="55" hidden="1" customWidth="1"/>
    <col min="317" max="318" width="8.3984375" style="55" hidden="1" customWidth="1"/>
    <col min="319" max="319" width="8.5" style="55" hidden="1" customWidth="1"/>
    <col min="320" max="321" width="8.3984375" style="55" hidden="1" customWidth="1"/>
    <col min="322" max="324" width="8.5" style="55" hidden="1" customWidth="1"/>
    <col min="325" max="325" width="8.3984375" style="55" hidden="1" customWidth="1"/>
    <col min="326" max="329" width="8.5" style="55" hidden="1" customWidth="1"/>
    <col min="330" max="330" width="9.3984375" style="55" hidden="1" customWidth="1"/>
    <col min="331" max="334" width="8.5" style="55" hidden="1" customWidth="1"/>
    <col min="335" max="335" width="8.3984375" style="55" hidden="1" customWidth="1"/>
    <col min="336" max="336" width="8.5" style="55" hidden="1" customWidth="1"/>
    <col min="337" max="337" width="8.3984375" style="55" hidden="1" customWidth="1"/>
    <col min="338" max="338" width="6.5" style="55" hidden="1" customWidth="1"/>
    <col min="339" max="16384" width="8.5" style="55" hidden="1"/>
  </cols>
  <sheetData>
    <row r="1" spans="1:13" hidden="1" x14ac:dyDescent="0.2">
      <c r="A1" s="240" t="s">
        <v>1452</v>
      </c>
    </row>
    <row r="2" spans="1:13" ht="36" customHeight="1" x14ac:dyDescent="0.2">
      <c r="A2" s="176" t="s">
        <v>1479</v>
      </c>
      <c r="B2" s="176"/>
      <c r="C2" s="176"/>
      <c r="D2" s="176"/>
      <c r="E2" s="176"/>
      <c r="F2" s="176"/>
      <c r="G2" s="176"/>
      <c r="H2" s="176"/>
      <c r="I2" s="177"/>
      <c r="J2" s="177"/>
      <c r="K2" s="177" t="str">
        <f>'Auto Responses'!$A$36</f>
        <v>Version 4.1.5</v>
      </c>
      <c r="L2" s="177"/>
      <c r="M2" s="177"/>
    </row>
    <row r="3" spans="1:13" ht="22.5" customHeight="1" x14ac:dyDescent="0.2">
      <c r="A3" s="98"/>
      <c r="B3" s="98"/>
      <c r="C3" s="98"/>
      <c r="D3" s="98"/>
      <c r="E3" s="98"/>
      <c r="F3" s="98"/>
      <c r="G3" s="98"/>
      <c r="H3" s="98"/>
      <c r="I3" s="98"/>
      <c r="J3" s="98"/>
      <c r="K3" s="98"/>
      <c r="L3" s="98"/>
      <c r="M3" s="98"/>
    </row>
    <row r="4" spans="1:13" ht="36" customHeight="1" x14ac:dyDescent="0.2">
      <c r="A4" s="99" t="s">
        <v>1402</v>
      </c>
      <c r="B4" s="100"/>
      <c r="C4" s="100"/>
      <c r="D4" s="100"/>
      <c r="E4" s="100"/>
      <c r="F4" s="100"/>
      <c r="G4" s="100"/>
      <c r="H4" s="100"/>
      <c r="I4" s="100"/>
      <c r="J4" s="100"/>
      <c r="K4" s="100"/>
      <c r="L4" s="100"/>
      <c r="M4" s="100"/>
    </row>
    <row r="5" spans="1:13" ht="19.5" customHeight="1" x14ac:dyDescent="0.2">
      <c r="A5" s="296" t="str">
        <f>HLOOKUP($A$4,'Auto Responses'!$H$2:$H$5,2,0)&amp;""</f>
        <v xml:space="preserve">1. The scorecard below reflects those questions marked as "Critical Importance" or those where the "Non-Negotiable" box was checked. </v>
      </c>
      <c r="B5" s="165"/>
      <c r="C5" s="165"/>
      <c r="D5" s="165"/>
      <c r="E5" s="165"/>
      <c r="F5" s="165"/>
      <c r="G5" s="165"/>
      <c r="H5" s="165"/>
      <c r="I5" s="165"/>
      <c r="J5" s="61"/>
      <c r="K5" s="61"/>
      <c r="L5" s="61"/>
      <c r="M5" s="61"/>
    </row>
    <row r="6" spans="1:13" s="237" customFormat="1" ht="19.5" customHeight="1" x14ac:dyDescent="0.2">
      <c r="A6" s="296" t="str">
        <f>HLOOKUP($A$4,'Auto Responses'!$H$2:$H$5,3,0)&amp;""</f>
        <v xml:space="preserve">2. Use these condensed, aggregated views to review those questions that pose the highest risk. </v>
      </c>
      <c r="B6" s="296"/>
      <c r="C6" s="296"/>
      <c r="D6" s="296"/>
      <c r="E6" s="296"/>
      <c r="F6" s="296"/>
      <c r="G6" s="296"/>
      <c r="H6" s="296"/>
      <c r="I6" s="296"/>
      <c r="J6" s="297"/>
      <c r="K6" s="297"/>
      <c r="L6" s="297"/>
      <c r="M6" s="297"/>
    </row>
    <row r="7" spans="1:13" ht="19.5" customHeight="1" x14ac:dyDescent="0.2">
      <c r="A7" s="296" t="str">
        <f>HLOOKUP($A$4,'Auto Responses'!$H$2:$H$5,4,0)&amp;""</f>
        <v>3. Changes cannot be made in this sheet. Please make changes in the appropriate "Evaluation" tab.</v>
      </c>
      <c r="B7" s="165"/>
      <c r="C7" s="165"/>
      <c r="D7" s="165"/>
      <c r="E7" s="165"/>
      <c r="F7" s="165"/>
      <c r="G7" s="165"/>
      <c r="H7" s="165"/>
      <c r="I7" s="165"/>
      <c r="J7" s="61"/>
      <c r="K7" s="61"/>
      <c r="L7" s="61"/>
      <c r="M7" s="61"/>
    </row>
    <row r="8" spans="1:13" ht="19.5" customHeight="1" thickBot="1" x14ac:dyDescent="0.25">
      <c r="A8" s="246" t="s">
        <v>1524</v>
      </c>
      <c r="B8" s="165"/>
      <c r="C8" s="165"/>
      <c r="D8" s="165"/>
      <c r="E8" s="165"/>
      <c r="F8" s="165"/>
      <c r="G8" s="165"/>
      <c r="H8" s="165"/>
      <c r="I8" s="165"/>
      <c r="J8" s="61"/>
      <c r="K8" s="61"/>
      <c r="L8" s="61"/>
      <c r="M8" s="61"/>
    </row>
    <row r="9" spans="1:13" s="89" customFormat="1" ht="25.5" customHeight="1" x14ac:dyDescent="0.2">
      <c r="A9" s="156" t="str">
        <f>'START HERE'!$B$13</f>
        <v>Solution Provider Name</v>
      </c>
      <c r="B9" s="142"/>
      <c r="C9" s="136" t="str">
        <f>VLOOKUP($A9,'START HERE'!$B$13:$C$21,2,0)&amp;""</f>
        <v/>
      </c>
      <c r="D9" s="137"/>
      <c r="E9" s="138"/>
      <c r="F9" s="90"/>
      <c r="G9" s="90"/>
      <c r="H9" s="95"/>
      <c r="I9" s="90"/>
      <c r="J9" s="90"/>
    </row>
    <row r="10" spans="1:13" s="89" customFormat="1" ht="25.5" customHeight="1" x14ac:dyDescent="0.2">
      <c r="A10" s="157" t="str">
        <f>'START HERE'!$B$16</f>
        <v>Solution Provider Contact Name</v>
      </c>
      <c r="B10" s="143"/>
      <c r="C10" s="135" t="str">
        <f>VLOOKUP($A10,'START HERE'!$B$13:$C$21,2,0)&amp;""</f>
        <v/>
      </c>
      <c r="D10" s="97"/>
      <c r="E10" s="139"/>
      <c r="F10" s="90"/>
      <c r="G10" s="90"/>
      <c r="H10" s="95"/>
      <c r="I10" s="90"/>
      <c r="J10" s="90"/>
    </row>
    <row r="11" spans="1:13" s="89" customFormat="1" ht="25.5" customHeight="1" x14ac:dyDescent="0.2">
      <c r="A11" s="157" t="str">
        <f>'START HERE'!$B$17</f>
        <v>Solution Provider Contact Title</v>
      </c>
      <c r="B11" s="143"/>
      <c r="C11" s="135" t="str">
        <f>VLOOKUP($A11,'START HERE'!$B$13:$C$21,2,0)&amp;""</f>
        <v/>
      </c>
      <c r="D11" s="97"/>
      <c r="E11" s="139"/>
      <c r="F11" s="90"/>
      <c r="G11" s="90"/>
      <c r="H11" s="95"/>
      <c r="I11" s="90"/>
      <c r="J11" s="90"/>
    </row>
    <row r="12" spans="1:13" s="89" customFormat="1" ht="25.5" customHeight="1" x14ac:dyDescent="0.2">
      <c r="A12" s="157" t="str">
        <f>'START HERE'!$B$18</f>
        <v>Solution Provider Contact Email</v>
      </c>
      <c r="B12" s="143"/>
      <c r="C12" s="135" t="str">
        <f>VLOOKUP($A12,'START HERE'!$B$13:$C$21,2,0)&amp;""</f>
        <v/>
      </c>
      <c r="D12" s="97"/>
      <c r="E12" s="139"/>
      <c r="F12" s="133"/>
      <c r="G12" s="134"/>
      <c r="H12" s="134"/>
      <c r="I12" s="134"/>
      <c r="J12" s="134"/>
    </row>
    <row r="13" spans="1:13" s="89" customFormat="1" ht="25.5" customHeight="1" x14ac:dyDescent="0.2">
      <c r="A13" s="157" t="str">
        <f>'START HERE'!$B$14</f>
        <v>Solution Name</v>
      </c>
      <c r="B13" s="143"/>
      <c r="C13" s="135" t="str">
        <f>VLOOKUP($A13,'START HERE'!$B$13:$C$21,2,0)&amp;""</f>
        <v/>
      </c>
      <c r="D13" s="97"/>
      <c r="E13" s="139"/>
      <c r="F13" s="133"/>
      <c r="G13" s="134"/>
      <c r="H13" s="134"/>
      <c r="I13" s="134"/>
      <c r="J13" s="134"/>
    </row>
    <row r="14" spans="1:13" s="89" customFormat="1" ht="25.5" customHeight="1" x14ac:dyDescent="0.2">
      <c r="A14" s="157" t="str">
        <f>'START HERE'!$B$15</f>
        <v>Solution Description</v>
      </c>
      <c r="B14" s="143"/>
      <c r="C14" s="135" t="str">
        <f>VLOOKUP($A14,'START HERE'!$B$13:$C$21,2,0)&amp;""</f>
        <v/>
      </c>
      <c r="D14" s="97"/>
      <c r="E14" s="139"/>
      <c r="F14" s="133"/>
      <c r="G14" s="134"/>
      <c r="H14" s="134"/>
      <c r="I14" s="134"/>
      <c r="J14" s="134"/>
    </row>
    <row r="15" spans="1:13" s="89" customFormat="1" ht="25.5" customHeight="1" thickBot="1" x14ac:dyDescent="0.25">
      <c r="A15" s="158" t="s">
        <v>948</v>
      </c>
      <c r="B15" s="144"/>
      <c r="C15" s="338">
        <f>'START HERE'!$C$3</f>
        <v>0</v>
      </c>
      <c r="D15" s="140"/>
      <c r="E15" s="141"/>
      <c r="F15" s="133"/>
      <c r="G15" s="134"/>
      <c r="H15" s="134"/>
      <c r="I15" s="134"/>
      <c r="J15" s="134"/>
    </row>
    <row r="16" spans="1:13" x14ac:dyDescent="0.2">
      <c r="A16" s="51" t="s">
        <v>949</v>
      </c>
      <c r="C16" s="260"/>
    </row>
    <row r="17" spans="1:338" s="87" customFormat="1" ht="24" customHeight="1" thickBot="1" x14ac:dyDescent="0.25">
      <c r="A17" s="88"/>
      <c r="B17" s="88"/>
      <c r="C17" s="88"/>
    </row>
    <row r="18" spans="1:338" ht="37.35" customHeight="1" thickBot="1" x14ac:dyDescent="0.25">
      <c r="B18" s="83" t="s">
        <v>947</v>
      </c>
      <c r="C18" s="110" t="s">
        <v>965</v>
      </c>
      <c r="D18" s="82" t="s">
        <v>1512</v>
      </c>
      <c r="E18" s="109" t="s">
        <v>946</v>
      </c>
      <c r="F18" s="86" t="s">
        <v>945</v>
      </c>
    </row>
    <row r="19" spans="1:338" s="84" customFormat="1" ht="37.35" customHeight="1" thickBot="1" x14ac:dyDescent="0.25">
      <c r="B19" s="113" t="s">
        <v>964</v>
      </c>
      <c r="C19" s="114">
        <f>SUM('(backend scoring)'!$Q$3:$Q$333)</f>
        <v>0</v>
      </c>
      <c r="D19" s="115">
        <f>SUMIF('(backend scoring)'!$Q$3:$Q$333,1,'(backend scoring)'!$O$3:$O$333)</f>
        <v>0</v>
      </c>
      <c r="E19" s="115">
        <f>SUMIF('(backend scoring)'!$Q$3:$Q$333,1,'(backend scoring)'!$P$3:$P$333)</f>
        <v>0</v>
      </c>
      <c r="F19" s="116" t="str">
        <f>IF(D19=0,'Auto Responses'!$J$5,E19/D19)</f>
        <v>N/A</v>
      </c>
    </row>
    <row r="20" spans="1:338" s="84" customFormat="1" ht="37.35" customHeight="1" thickBot="1" x14ac:dyDescent="0.25">
      <c r="B20" s="113" t="s">
        <v>1522</v>
      </c>
      <c r="C20" s="114">
        <f>SUM('(backend scoring)'!$T$3:$T$333)</f>
        <v>87</v>
      </c>
      <c r="D20" s="115">
        <f>SUMIF('(backend scoring)'!$N$3:$N$333,1,'(backend scoring)'!$O$3:$O$333)</f>
        <v>1700</v>
      </c>
      <c r="E20" s="115">
        <f>SUMIF('(backend scoring)'!$N$3:$N$333,1,'(backend scoring)'!$P$3:$P$333)</f>
        <v>0</v>
      </c>
      <c r="F20" s="116">
        <f>IF(D20=0,'Auto Responses'!$J$5,E20/D20)</f>
        <v>0</v>
      </c>
      <c r="G20" s="238" t="s">
        <v>1449</v>
      </c>
    </row>
    <row r="21" spans="1:338"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75" thickBo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25">
      <c r="A23" s="298" t="s">
        <v>1523</v>
      </c>
      <c r="B23" s="163"/>
      <c r="C23" s="163"/>
      <c r="D23" s="163"/>
      <c r="E23" s="163"/>
      <c r="F23" s="164"/>
      <c r="G23" s="166"/>
      <c r="H23" s="298" t="s">
        <v>976</v>
      </c>
      <c r="I23" s="163"/>
      <c r="J23" s="163"/>
      <c r="K23" s="163"/>
      <c r="L23" s="163"/>
      <c r="M23" s="164"/>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2">
      <c r="A24" s="153"/>
      <c r="B24" s="207" t="s">
        <v>955</v>
      </c>
      <c r="C24" s="207" t="s">
        <v>1</v>
      </c>
      <c r="D24" s="207" t="s">
        <v>1497</v>
      </c>
      <c r="E24" s="207" t="s">
        <v>72</v>
      </c>
      <c r="F24" s="208" t="s">
        <v>849</v>
      </c>
      <c r="G24" s="205"/>
      <c r="H24" s="153"/>
      <c r="I24" s="207" t="s">
        <v>955</v>
      </c>
      <c r="J24" s="207" t="s">
        <v>1</v>
      </c>
      <c r="K24" s="207" t="s">
        <v>1497</v>
      </c>
      <c r="L24" s="207" t="s">
        <v>72</v>
      </c>
      <c r="M24" s="208" t="s">
        <v>849</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2">
      <c r="A25" s="209">
        <v>1</v>
      </c>
      <c r="B25" s="209" t="str">
        <f>_xlfn.XLOOKUP($A25,'(backend scoring)'!$V$2:$V$333,'(backend scoring)'!$A$2:$A$333,"")</f>
        <v>DOCU-01</v>
      </c>
      <c r="C25" s="209" t="str">
        <f>IFERROR(VLOOKUP($B25,'Institution Evaluation'!$A$55:$F$345,2,0),IFERROR(VLOOKUP($B25,'Privacy Analyst Evaluation'!$A$46:$F$120,2,0),""))&amp;""</f>
        <v>Do you have a well-documented business continuity plan (BCP), with a clear owner, that is tested annually?*</v>
      </c>
      <c r="D25" s="209" t="str">
        <f>IFERROR(VLOOKUP($B25,'Institution Evaluation'!$A$55:$F$345,3,0),IFERROR(VLOOKUP($B25,'Privacy Analyst Evaluation'!$A$46:$F$120,3,0),""))&amp;""</f>
        <v/>
      </c>
      <c r="E25" s="209" t="str">
        <f>IFERROR(VLOOKUP($B25,'Institution Evaluation'!$A$55:$F$345,4,0),IFERROR(VLOOKUP($B25,'Privacy Analyst Evaluation'!$A$46:$F$120,4,0),""))&amp;""</f>
        <v/>
      </c>
      <c r="F25" s="209" t="str">
        <f>IFERROR(VLOOKUP($B25,'Institution Evaluation'!$A$55:$F$345,6,0),IFERROR(VLOOKUP($B25,'Privacy Analyst Evaluation'!$A$46:$F$120,6,0),""))&amp;""</f>
        <v/>
      </c>
      <c r="G25" s="210"/>
      <c r="H25" s="209">
        <v>1</v>
      </c>
      <c r="I25" s="209" t="str">
        <f>_xlfn.XLOOKUP($H25,'(backend scoring)'!$S$2:$S$333,'(backend scoring)'!$A$2:$A$333,"")</f>
        <v/>
      </c>
      <c r="J25" s="209" t="str">
        <f>IFERROR(VLOOKUP($I25,'Institution Evaluation'!$A$55:$F$345,2,0),IFERROR(VLOOKUP($I25,'Privacy Analyst Evaluation'!$A$46:$F$120,2,0),""))&amp;""</f>
        <v/>
      </c>
      <c r="K25" s="209" t="str">
        <f>IFERROR(VLOOKUP($I25,'Institution Evaluation'!$A$55:$F$345,3,0),IFERROR(VLOOKUP($I25,'Privacy Analyst Evaluation'!$A$46:$F$120,3,0),""))&amp;""</f>
        <v/>
      </c>
      <c r="L25" s="209" t="str">
        <f>IFERROR(VLOOKUP($I25,'Institution Evaluation'!$A$55:$F$345,4,0),IFERROR(VLOOKUP($I25,'Privacy Analyst Evaluation'!$A$46:$F$120,4,0),""))&amp;""</f>
        <v/>
      </c>
      <c r="M25" s="209" t="str">
        <f>IFERROR(VLOOKUP($I25,'Institution Evaluation'!$A$55:$F$345,6,0),IFERROR(VLOOKUP($I25,'Privacy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2">
      <c r="A26" s="209">
        <f>IFERROR(IF($A25+1&gt;'(backend scoring)'!$T$335,"",$A25+1),"")</f>
        <v>2</v>
      </c>
      <c r="B26" s="209" t="str">
        <f>_xlfn.XLOOKUP($A26,'(backend scoring)'!$V$2:$V$333,'(backend scoring)'!$A$2:$A$333,"")</f>
        <v>DOCU-02</v>
      </c>
      <c r="C26" s="209" t="str">
        <f>IFERROR(VLOOKUP($B26,'Institution Evaluation'!$A$55:$F$345,2,0),IFERROR(VLOOKUP($B26,'Privacy Analyst Evaluation'!$A$46:$F$120,2,0),""))&amp;""</f>
        <v>Do you have a well-documented disaster recovery plan (DRP), with a clear owner, that is tested annually?*</v>
      </c>
      <c r="D26" s="209" t="str">
        <f>IFERROR(VLOOKUP($B26,'Institution Evaluation'!$A$55:$F$345,3,0),IFERROR(VLOOKUP($B26,'Privacy Analyst Evaluation'!$A$46:$F$120,3,0),""))&amp;""</f>
        <v/>
      </c>
      <c r="E26" s="209" t="str">
        <f>IFERROR(VLOOKUP($B26,'Institution Evaluation'!$A$55:$F$345,4,0),IFERROR(VLOOKUP($B26,'Privacy Analyst Evaluation'!$A$46:$F$120,4,0),""))&amp;""</f>
        <v/>
      </c>
      <c r="F26" s="209" t="str">
        <f>IFERROR(VLOOKUP($B26,'Institution Evaluation'!$A$55:$F$345,6,0),IFERROR(VLOOKUP($B26,'Privacy Analyst Evaluation'!$A$46:$F$120,6,0),""))&amp;""</f>
        <v/>
      </c>
      <c r="G26" s="210"/>
      <c r="H26" s="209" t="str">
        <f>IFERROR(IF($H25+1&gt;'(backend scoring)'!$Q$335,"",$H25+1),"")</f>
        <v/>
      </c>
      <c r="I26" s="209" t="str">
        <f>_xlfn.XLOOKUP($H26,'(backend scoring)'!$S$2:$S$333,'(backend scoring)'!$A$2:$A$333,"")</f>
        <v/>
      </c>
      <c r="J26" s="209" t="str">
        <f>IFERROR(VLOOKUP($I26,'Institution Evaluation'!$A$55:$F$345,2,0),IFERROR(VLOOKUP($I26,'Privacy Analyst Evaluation'!$A$46:$F$120,2,0),""))</f>
        <v/>
      </c>
      <c r="K26" s="209" t="str">
        <f>IFERROR(VLOOKUP($I26,'Institution Evaluation'!$A$55:$F$345,3,0),IFERROR(VLOOKUP($I26,'Privacy Analyst Evaluation'!$A$46:$F$120,3,0),""))&amp;""</f>
        <v/>
      </c>
      <c r="L26" s="209" t="str">
        <f>IFERROR(VLOOKUP($I26,'Institution Evaluation'!$A$55:$F$345,4,0),IFERROR(VLOOKUP($I26,'Privacy Analyst Evaluation'!$A$46:$F$120,4,0),""))&amp;""</f>
        <v/>
      </c>
      <c r="M26" s="209" t="str">
        <f>IFERROR(VLOOKUP($I26,'Institution Evaluation'!$A$55:$F$345,6,0),IFERROR(VLOOKUP($I26,'Privacy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2">
      <c r="A27" s="209">
        <f>IFERROR(IF($A26+1&gt;'(backend scoring)'!$T$335,"",$A26+1),"")</f>
        <v>3</v>
      </c>
      <c r="B27" s="209" t="str">
        <f>_xlfn.XLOOKUP($A27,'(backend scoring)'!$V$2:$V$333,'(backend scoring)'!$A$2:$A$333,"")</f>
        <v>ITAC-06</v>
      </c>
      <c r="C27" s="209" t="str">
        <f>IFERROR(VLOOKUP($B27,'Institution Evaluation'!$A$55:$F$345,2,0),IFERROR(VLOOKUP($B27,'Privacy Analyst Evaluation'!$A$46:$F$120,2,0),""))&amp;""</f>
        <v>Has a VPAT or ACR been created or updated for the solution and version under consideration within the past 12 months?*</v>
      </c>
      <c r="D27" s="209" t="str">
        <f>IFERROR(VLOOKUP($B27,'Institution Evaluation'!$A$55:$F$345,3,0),IFERROR(VLOOKUP($B27,'Privacy Analyst Evaluation'!$A$46:$F$120,3,0),""))&amp;""</f>
        <v/>
      </c>
      <c r="E27" s="209" t="str">
        <f>IFERROR(VLOOKUP($B27,'Institution Evaluation'!$A$55:$F$345,4,0),IFERROR(VLOOKUP($B27,'Privacy Analyst Evaluation'!$A$46:$F$120,4,0),""))&amp;""</f>
        <v/>
      </c>
      <c r="F27" s="209" t="str">
        <f>IFERROR(VLOOKUP($B27,'Institution Evaluation'!$A$55:$F$345,6,0),IFERROR(VLOOKUP($B27,'Privacy Analyst Evaluation'!$A$46:$F$120,6,0),""))&amp;""</f>
        <v/>
      </c>
      <c r="G27" s="210"/>
      <c r="H27" s="209" t="str">
        <f>IFERROR(IF($H26+1&gt;'(backend scoring)'!$Q$335,"",$H26+1),"")</f>
        <v/>
      </c>
      <c r="I27" s="209" t="str">
        <f>_xlfn.XLOOKUP($H27,'(backend scoring)'!$S$2:$S$333,'(backend scoring)'!$A$2:$A$333,"")</f>
        <v/>
      </c>
      <c r="J27" s="209" t="str">
        <f>IFERROR(VLOOKUP($I27,'Institution Evaluation'!$A$55:$F$345,2,0),IFERROR(VLOOKUP($I27,'Privacy Analyst Evaluation'!$A$46:$F$120,2,0),""))</f>
        <v/>
      </c>
      <c r="K27" s="209" t="str">
        <f>IFERROR(VLOOKUP($I27,'Institution Evaluation'!$A$55:$F$345,3,0),IFERROR(VLOOKUP($I27,'Privacy Analyst Evaluation'!$A$46:$F$120,3,0),""))&amp;""</f>
        <v/>
      </c>
      <c r="L27" s="209" t="str">
        <f>IFERROR(VLOOKUP($I27,'Institution Evaluation'!$A$55:$F$345,4,0),IFERROR(VLOOKUP($I27,'Privacy Analyst Evaluation'!$A$46:$F$120,4,0),""))&amp;""</f>
        <v/>
      </c>
      <c r="M27" s="209" t="str">
        <f>IFERROR(VLOOKUP($I27,'Institution Evaluation'!$A$55:$F$345,6,0),IFERROR(VLOOKUP($I27,'Privacy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75" x14ac:dyDescent="0.2">
      <c r="A28" s="209">
        <f>IFERROR(IF($A27+1&gt;'(backend scoring)'!$T$335,"",$A27+1),"")</f>
        <v>4</v>
      </c>
      <c r="B28" s="209" t="str">
        <f>_xlfn.XLOOKUP($A28,'(backend scoring)'!$V$2:$V$333,'(backend scoring)'!$A$2:$A$333,"")</f>
        <v>ITAC-07</v>
      </c>
      <c r="C28" s="209" t="str">
        <f>IFERROR(VLOOKUP($B28,'Institution Evaluation'!$A$55:$F$345,2,0),IFERROR(VLOOKUP($B28,'Privacy Analyst Evaluation'!$A$46:$F$120,2,0),""))&amp;""</f>
        <v>Will your company agree to meet your stated accessibility standard or WCAG 2.1 AA as part of your contractual agreement for the solution?*</v>
      </c>
      <c r="D28" s="209" t="str">
        <f>IFERROR(VLOOKUP($B28,'Institution Evaluation'!$A$55:$F$345,3,0),IFERROR(VLOOKUP($B28,'Privacy Analyst Evaluation'!$A$46:$F$120,3,0),""))&amp;""</f>
        <v/>
      </c>
      <c r="E28" s="209" t="str">
        <f>IFERROR(VLOOKUP($B28,'Institution Evaluation'!$A$55:$F$345,4,0),IFERROR(VLOOKUP($B28,'Privacy Analyst Evaluation'!$A$46:$F$120,4,0),""))&amp;""</f>
        <v/>
      </c>
      <c r="F28" s="209" t="str">
        <f>IFERROR(VLOOKUP($B28,'Institution Evaluation'!$A$55:$F$345,6,0),IFERROR(VLOOKUP($B28,'Privacy Analyst Evaluation'!$A$46:$F$120,6,0),""))&amp;""</f>
        <v/>
      </c>
      <c r="G28" s="210"/>
      <c r="H28" s="209" t="str">
        <f>IFERROR(IF($H27+1&gt;'(backend scoring)'!$Q$335,"",$H27+1),"")</f>
        <v/>
      </c>
      <c r="I28" s="209" t="str">
        <f>_xlfn.XLOOKUP($H28,'(backend scoring)'!$S$2:$S$333,'(backend scoring)'!$A$2:$A$333,"")</f>
        <v/>
      </c>
      <c r="J28" s="209" t="str">
        <f>IFERROR(VLOOKUP($I28,'Institution Evaluation'!$A$55:$F$345,2,0),IFERROR(VLOOKUP($I28,'Privacy Analyst Evaluation'!$A$46:$F$120,2,0),""))</f>
        <v/>
      </c>
      <c r="K28" s="209" t="str">
        <f>IFERROR(VLOOKUP($I28,'Institution Evaluation'!$A$55:$F$345,3,0),IFERROR(VLOOKUP($I28,'Privacy Analyst Evaluation'!$A$46:$F$120,3,0),""))&amp;""</f>
        <v/>
      </c>
      <c r="L28" s="209" t="str">
        <f>IFERROR(VLOOKUP($I28,'Institution Evaluation'!$A$55:$F$345,4,0),IFERROR(VLOOKUP($I28,'Privacy Analyst Evaluation'!$A$46:$F$120,4,0),""))&amp;""</f>
        <v/>
      </c>
      <c r="M28" s="209" t="str">
        <f>IFERROR(VLOOKUP($I28,'Institution Evaluation'!$A$55:$F$345,6,0),IFERROR(VLOOKUP($I28,'Privacy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30" x14ac:dyDescent="0.2">
      <c r="A29" s="209">
        <f>IFERROR(IF($A28+1&gt;'(backend scoring)'!$T$335,"",$A28+1),"")</f>
        <v>5</v>
      </c>
      <c r="B29" s="209" t="str">
        <f>_xlfn.XLOOKUP($A29,'(backend scoring)'!$V$2:$V$333,'(backend scoring)'!$A$2:$A$333,"")</f>
        <v>ITAC-08</v>
      </c>
      <c r="C29" s="209" t="str">
        <f>IFERROR(VLOOKUP($B29,'Institution Evaluation'!$A$55:$F$345,2,0),IFERROR(VLOOKUP($B29,'Privacy Analyst Evaluation'!$A$46:$F$120,2,0),""))&amp;""</f>
        <v>Does the solution substantially conform to WCAG 2.1 AA?*</v>
      </c>
      <c r="D29" s="209" t="str">
        <f>IFERROR(VLOOKUP($B29,'Institution Evaluation'!$A$55:$F$345,3,0),IFERROR(VLOOKUP($B29,'Privacy Analyst Evaluation'!$A$46:$F$120,3,0),""))&amp;""</f>
        <v/>
      </c>
      <c r="E29" s="209" t="str">
        <f>IFERROR(VLOOKUP($B29,'Institution Evaluation'!$A$55:$F$345,4,0),IFERROR(VLOOKUP($B29,'Privacy Analyst Evaluation'!$A$46:$F$120,4,0),""))&amp;""</f>
        <v/>
      </c>
      <c r="F29" s="209" t="str">
        <f>IFERROR(VLOOKUP($B29,'Institution Evaluation'!$A$55:$F$345,6,0),IFERROR(VLOOKUP($B29,'Privacy Analyst Evaluation'!$A$46:$F$120,6,0),""))&amp;""</f>
        <v/>
      </c>
      <c r="G29" s="210"/>
      <c r="H29" s="209" t="str">
        <f>IFERROR(IF($H28+1&gt;'(backend scoring)'!$Q$335,"",$H28+1),"")</f>
        <v/>
      </c>
      <c r="I29" s="209" t="str">
        <f>_xlfn.XLOOKUP($H29,'(backend scoring)'!$S$2:$S$333,'(backend scoring)'!$A$2:$A$333,"")</f>
        <v/>
      </c>
      <c r="J29" s="209" t="str">
        <f>IFERROR(VLOOKUP($I29,'Institution Evaluation'!$A$55:$F$345,2,0),IFERROR(VLOOKUP($I29,'Privacy Analyst Evaluation'!$A$46:$F$120,2,0),""))</f>
        <v/>
      </c>
      <c r="K29" s="209" t="str">
        <f>IFERROR(VLOOKUP($I29,'Institution Evaluation'!$A$55:$F$345,3,0),IFERROR(VLOOKUP($I29,'Privacy Analyst Evaluation'!$A$46:$F$120,3,0),""))&amp;""</f>
        <v/>
      </c>
      <c r="L29" s="209" t="str">
        <f>IFERROR(VLOOKUP($I29,'Institution Evaluation'!$A$55:$F$345,4,0),IFERROR(VLOOKUP($I29,'Privacy Analyst Evaluation'!$A$46:$F$120,4,0),""))&amp;""</f>
        <v/>
      </c>
      <c r="M29" s="209" t="str">
        <f>IFERROR(VLOOKUP($I29,'Institution Evaluation'!$A$55:$F$345,6,0),IFERROR(VLOOKUP($I29,'Privacy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60" x14ac:dyDescent="0.2">
      <c r="A30" s="209">
        <f>IFERROR(IF($A29+1&gt;'(backend scoring)'!$T$335,"",$A29+1),"")</f>
        <v>6</v>
      </c>
      <c r="B30" s="209" t="str">
        <f>_xlfn.XLOOKUP($A30,'(backend scoring)'!$V$2:$V$333,'(backend scoring)'!$A$2:$A$333,"")</f>
        <v>ITAC-09</v>
      </c>
      <c r="C30" s="209" t="str">
        <f>IFERROR(VLOOKUP($B30,'Institution Evaluation'!$A$55:$F$345,2,0),IFERROR(VLOOKUP($B30,'Privacy Analyst Evaluation'!$A$46:$F$120,2,0),""))&amp;""</f>
        <v>Do you have a documented and implemented process for reporting and tracking accessibility issues?*</v>
      </c>
      <c r="D30" s="209" t="str">
        <f>IFERROR(VLOOKUP($B30,'Institution Evaluation'!$A$55:$F$345,3,0),IFERROR(VLOOKUP($B30,'Privacy Analyst Evaluation'!$A$46:$F$120,3,0),""))&amp;""</f>
        <v/>
      </c>
      <c r="E30" s="209" t="str">
        <f>IFERROR(VLOOKUP($B30,'Institution Evaluation'!$A$55:$F$345,4,0),IFERROR(VLOOKUP($B30,'Privacy Analyst Evaluation'!$A$46:$F$120,4,0),""))&amp;""</f>
        <v/>
      </c>
      <c r="F30" s="209" t="str">
        <f>IFERROR(VLOOKUP($B30,'Institution Evaluation'!$A$55:$F$345,6,0),IFERROR(VLOOKUP($B30,'Privacy Analyst Evaluation'!$A$46:$F$120,6,0),""))&amp;""</f>
        <v/>
      </c>
      <c r="G30" s="210"/>
      <c r="H30" s="209" t="str">
        <f>IFERROR(IF($H29+1&gt;'(backend scoring)'!$Q$335,"",$H29+1),"")</f>
        <v/>
      </c>
      <c r="I30" s="209" t="str">
        <f>_xlfn.XLOOKUP($H30,'(backend scoring)'!$S$2:$S$333,'(backend scoring)'!$A$2:$A$333,"")</f>
        <v/>
      </c>
      <c r="J30" s="209" t="str">
        <f>IFERROR(VLOOKUP($I30,'Institution Evaluation'!$A$55:$F$345,2,0),IFERROR(VLOOKUP($I30,'Privacy Analyst Evaluation'!$A$46:$F$120,2,0),""))</f>
        <v/>
      </c>
      <c r="K30" s="209" t="str">
        <f>IFERROR(VLOOKUP($I30,'Institution Evaluation'!$A$55:$F$345,3,0),IFERROR(VLOOKUP($I30,'Privacy Analyst Evaluation'!$A$46:$F$120,3,0),""))&amp;""</f>
        <v/>
      </c>
      <c r="L30" s="209" t="str">
        <f>IFERROR(VLOOKUP($I30,'Institution Evaluation'!$A$55:$F$345,4,0),IFERROR(VLOOKUP($I30,'Privacy Analyst Evaluation'!$A$46:$F$120,4,0),""))&amp;""</f>
        <v/>
      </c>
      <c r="M30" s="209" t="str">
        <f>IFERROR(VLOOKUP($I30,'Institution Evaluation'!$A$55:$F$345,6,0),IFERROR(VLOOKUP($I30,'Privacy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0" x14ac:dyDescent="0.2">
      <c r="A31" s="209">
        <f>IFERROR(IF($A30+1&gt;'(backend scoring)'!$T$335,"",$A30+1),"")</f>
        <v>7</v>
      </c>
      <c r="B31" s="209" t="str">
        <f>_xlfn.XLOOKUP($A31,'(backend scoring)'!$V$2:$V$333,'(backend scoring)'!$A$2:$A$333,"")</f>
        <v>THRD-02</v>
      </c>
      <c r="C31" s="209" t="str">
        <f>IFERROR(VLOOKUP($B31,'Institution Evaluation'!$A$55:$F$345,2,0),IFERROR(VLOOKUP($B31,'Privacy Analyst Evaluation'!$A$46:$F$120,2,0),""))&amp;""</f>
        <v>Do you have contractual language in place with third parties governing access to institutional data?*</v>
      </c>
      <c r="D31" s="209" t="str">
        <f>IFERROR(VLOOKUP($B31,'Institution Evaluation'!$A$55:$F$345,3,0),IFERROR(VLOOKUP($B31,'Privacy Analyst Evaluation'!$A$46:$F$120,3,0),""))&amp;""</f>
        <v/>
      </c>
      <c r="E31" s="209" t="str">
        <f>IFERROR(VLOOKUP($B31,'Institution Evaluation'!$A$55:$F$345,4,0),IFERROR(VLOOKUP($B31,'Privacy Analyst Evaluation'!$A$46:$F$120,4,0),""))&amp;""</f>
        <v/>
      </c>
      <c r="F31" s="209" t="str">
        <f>IFERROR(VLOOKUP($B31,'Institution Evaluation'!$A$55:$F$345,6,0),IFERROR(VLOOKUP($B31,'Privacy Analyst Evaluation'!$A$46:$F$120,6,0),""))&amp;""</f>
        <v/>
      </c>
      <c r="G31" s="210"/>
      <c r="H31" s="209" t="str">
        <f>IFERROR(IF($H30+1&gt;'(backend scoring)'!$Q$335,"",$H30+1),"")</f>
        <v/>
      </c>
      <c r="I31" s="209" t="str">
        <f>_xlfn.XLOOKUP($H31,'(backend scoring)'!$S$2:$S$333,'(backend scoring)'!$A$2:$A$333,"")</f>
        <v/>
      </c>
      <c r="J31" s="209" t="str">
        <f>IFERROR(VLOOKUP($I31,'Institution Evaluation'!$A$55:$F$345,2,0),IFERROR(VLOOKUP($I31,'Privacy Analyst Evaluation'!$A$46:$F$120,2,0),""))</f>
        <v/>
      </c>
      <c r="K31" s="209" t="str">
        <f>IFERROR(VLOOKUP($I31,'Institution Evaluation'!$A$55:$F$345,3,0),IFERROR(VLOOKUP($I31,'Privacy Analyst Evaluation'!$A$46:$F$120,3,0),""))&amp;""</f>
        <v/>
      </c>
      <c r="L31" s="209" t="str">
        <f>IFERROR(VLOOKUP($I31,'Institution Evaluation'!$A$55:$F$345,4,0),IFERROR(VLOOKUP($I31,'Privacy Analyst Evaluation'!$A$46:$F$120,4,0),""))&amp;""</f>
        <v/>
      </c>
      <c r="M31" s="209" t="str">
        <f>IFERROR(VLOOKUP($I31,'Institution Evaluation'!$A$55:$F$345,6,0),IFERROR(VLOOKUP($I31,'Privacy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90" x14ac:dyDescent="0.2">
      <c r="A32" s="209">
        <f>IFERROR(IF($A31+1&gt;'(backend scoring)'!$T$335,"",$A31+1),"")</f>
        <v>8</v>
      </c>
      <c r="B32" s="209" t="str">
        <f>_xlfn.XLOOKUP($A32,'(backend scoring)'!$V$2:$V$333,'(backend scoring)'!$A$2:$A$333,"")</f>
        <v>THRD-01</v>
      </c>
      <c r="C32" s="209" t="str">
        <f>IFERROR(VLOOKUP($B32,'Institution Evaluation'!$A$55:$F$345,2,0),IFERROR(VLOOKUP($B32,'Privacy Analyst Evaluation'!$A$46:$F$120,2,0),""))&amp;""</f>
        <v>Do you perform security assessments of third-party companies with which you share data (e.g., hosting providers, cloud services, PaaS, IaaS, SaaS)?*</v>
      </c>
      <c r="D32" s="209" t="str">
        <f>IFERROR(VLOOKUP($B32,'Institution Evaluation'!$A$55:$F$345,3,0),IFERROR(VLOOKUP($B32,'Privacy Analyst Evaluation'!$A$46:$F$120,3,0),""))&amp;""</f>
        <v/>
      </c>
      <c r="E32" s="209" t="str">
        <f>IFERROR(VLOOKUP($B32,'Institution Evaluation'!$A$55:$F$345,4,0),IFERROR(VLOOKUP($B32,'Privacy Analyst Evaluation'!$A$46:$F$120,4,0),""))&amp;""</f>
        <v/>
      </c>
      <c r="F32" s="209" t="str">
        <f>IFERROR(VLOOKUP($B32,'Institution Evaluation'!$A$55:$F$345,6,0),IFERROR(VLOOKUP($B32,'Privacy Analyst Evaluation'!$A$46:$F$120,6,0),""))&amp;""</f>
        <v/>
      </c>
      <c r="G32" s="210"/>
      <c r="H32" s="209" t="str">
        <f>IFERROR(IF($H31+1&gt;'(backend scoring)'!$Q$335,"",$H31+1),"")</f>
        <v/>
      </c>
      <c r="I32" s="209" t="str">
        <f>_xlfn.XLOOKUP($H32,'(backend scoring)'!$S$2:$S$333,'(backend scoring)'!$A$2:$A$333,"")</f>
        <v/>
      </c>
      <c r="J32" s="209" t="str">
        <f>IFERROR(VLOOKUP($I32,'Institution Evaluation'!$A$55:$F$345,2,0),IFERROR(VLOOKUP($I32,'Privacy Analyst Evaluation'!$A$46:$F$120,2,0),""))</f>
        <v/>
      </c>
      <c r="K32" s="209" t="str">
        <f>IFERROR(VLOOKUP($I32,'Institution Evaluation'!$A$55:$F$345,3,0),IFERROR(VLOOKUP($I32,'Privacy Analyst Evaluation'!$A$46:$F$120,3,0),""))&amp;""</f>
        <v/>
      </c>
      <c r="L32" s="209" t="str">
        <f>IFERROR(VLOOKUP($I32,'Institution Evaluation'!$A$55:$F$345,4,0),IFERROR(VLOOKUP($I32,'Privacy Analyst Evaluation'!$A$46:$F$120,4,0),""))&amp;""</f>
        <v/>
      </c>
      <c r="M32" s="209" t="str">
        <f>IFERROR(VLOOKUP($I32,'Institution Evaluation'!$A$55:$F$345,6,0),IFERROR(VLOOKUP($I32,'Privacy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60" x14ac:dyDescent="0.2">
      <c r="A33" s="209">
        <f>IFERROR(IF($A32+1&gt;'(backend scoring)'!$T$335,"",$A32+1),"")</f>
        <v>9</v>
      </c>
      <c r="B33" s="209" t="str">
        <f>_xlfn.XLOOKUP($A33,'(backend scoring)'!$V$2:$V$333,'(backend scoring)'!$A$2:$A$333,"")</f>
        <v>THRD-03</v>
      </c>
      <c r="C33" s="209" t="str">
        <f>IFERROR(VLOOKUP($B33,'Institution Evaluation'!$A$55:$F$345,2,0),IFERROR(VLOOKUP($B33,'Privacy Analyst Evaluation'!$A$46:$F$120,2,0),""))&amp;""</f>
        <v>Do the contracts in place with these third parties address liability in the event of a data breach?*</v>
      </c>
      <c r="D33" s="209" t="str">
        <f>IFERROR(VLOOKUP($B33,'Institution Evaluation'!$A$55:$F$345,3,0),IFERROR(VLOOKUP($B33,'Privacy Analyst Evaluation'!$A$46:$F$120,3,0),""))&amp;""</f>
        <v/>
      </c>
      <c r="E33" s="209" t="str">
        <f>IFERROR(VLOOKUP($B33,'Institution Evaluation'!$A$55:$F$345,4,0),IFERROR(VLOOKUP($B33,'Privacy Analyst Evaluation'!$A$46:$F$120,4,0),""))&amp;""</f>
        <v/>
      </c>
      <c r="F33" s="209" t="str">
        <f>IFERROR(VLOOKUP($B33,'Institution Evaluation'!$A$55:$F$345,6,0),IFERROR(VLOOKUP($B33,'Privacy Analyst Evaluation'!$A$46:$F$120,6,0),""))&amp;""</f>
        <v/>
      </c>
      <c r="G33" s="210"/>
      <c r="H33" s="209" t="str">
        <f>IFERROR(IF($H32+1&gt;'(backend scoring)'!$Q$335,"",$H32+1),"")</f>
        <v/>
      </c>
      <c r="I33" s="209" t="str">
        <f>_xlfn.XLOOKUP($H33,'(backend scoring)'!$S$2:$S$333,'(backend scoring)'!$A$2:$A$333,"")</f>
        <v/>
      </c>
      <c r="J33" s="209" t="str">
        <f>IFERROR(VLOOKUP($I33,'Institution Evaluation'!$A$55:$F$345,2,0),IFERROR(VLOOKUP($I33,'Privacy Analyst Evaluation'!$A$46:$F$120,2,0),""))</f>
        <v/>
      </c>
      <c r="K33" s="209" t="str">
        <f>IFERROR(VLOOKUP($I33,'Institution Evaluation'!$A$55:$F$345,3,0),IFERROR(VLOOKUP($I33,'Privacy Analyst Evaluation'!$A$46:$F$120,3,0),""))&amp;""</f>
        <v/>
      </c>
      <c r="L33" s="209" t="str">
        <f>IFERROR(VLOOKUP($I33,'Institution Evaluation'!$A$55:$F$345,4,0),IFERROR(VLOOKUP($I33,'Privacy Analyst Evaluation'!$A$46:$F$120,4,0),""))&amp;""</f>
        <v/>
      </c>
      <c r="M33" s="209" t="str">
        <f>IFERROR(VLOOKUP($I33,'Institution Evaluation'!$A$55:$F$345,6,0),IFERROR(VLOOKUP($I33,'Privacy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45" x14ac:dyDescent="0.2">
      <c r="A34" s="209">
        <f>IFERROR(IF($A33+1&gt;'(backend scoring)'!$T$335,"",$A33+1),"")</f>
        <v>10</v>
      </c>
      <c r="B34" s="209" t="str">
        <f>_xlfn.XLOOKUP($A34,'(backend scoring)'!$V$2:$V$333,'(backend scoring)'!$A$2:$A$333,"")</f>
        <v>THRD-04</v>
      </c>
      <c r="C34" s="209" t="str">
        <f>IFERROR(VLOOKUP($B34,'Institution Evaluation'!$A$55:$F$345,2,0),IFERROR(VLOOKUP($B34,'Privacy Analyst Evaluation'!$A$46:$F$120,2,0),""))&amp;""</f>
        <v>Do you have an implemented third-party management strategy?*</v>
      </c>
      <c r="D34" s="209" t="str">
        <f>IFERROR(VLOOKUP($B34,'Institution Evaluation'!$A$55:$F$345,3,0),IFERROR(VLOOKUP($B34,'Privacy Analyst Evaluation'!$A$46:$F$120,3,0),""))&amp;""</f>
        <v/>
      </c>
      <c r="E34" s="209" t="str">
        <f>IFERROR(VLOOKUP($B34,'Institution Evaluation'!$A$55:$F$345,4,0),IFERROR(VLOOKUP($B34,'Privacy Analyst Evaluation'!$A$46:$F$120,4,0),""))&amp;""</f>
        <v/>
      </c>
      <c r="F34" s="209" t="str">
        <f>IFERROR(VLOOKUP($B34,'Institution Evaluation'!$A$55:$F$345,6,0),IFERROR(VLOOKUP($B34,'Privacy Analyst Evaluation'!$A$46:$F$120,6,0),""))&amp;""</f>
        <v/>
      </c>
      <c r="G34" s="210"/>
      <c r="H34" s="209" t="str">
        <f>IFERROR(IF($H33+1&gt;'(backend scoring)'!$Q$335,"",$H33+1),"")</f>
        <v/>
      </c>
      <c r="I34" s="209" t="str">
        <f>_xlfn.XLOOKUP($H34,'(backend scoring)'!$S$2:$S$333,'(backend scoring)'!$A$2:$A$333,"")</f>
        <v/>
      </c>
      <c r="J34" s="209" t="str">
        <f>IFERROR(VLOOKUP($I34,'Institution Evaluation'!$A$55:$F$345,2,0),IFERROR(VLOOKUP($I34,'Privacy Analyst Evaluation'!$A$46:$F$120,2,0),""))</f>
        <v/>
      </c>
      <c r="K34" s="209" t="str">
        <f>IFERROR(VLOOKUP($I34,'Institution Evaluation'!$A$55:$F$345,3,0),IFERROR(VLOOKUP($I34,'Privacy Analyst Evaluation'!$A$46:$F$120,3,0),""))&amp;""</f>
        <v/>
      </c>
      <c r="L34" s="209" t="str">
        <f>IFERROR(VLOOKUP($I34,'Institution Evaluation'!$A$55:$F$345,4,0),IFERROR(VLOOKUP($I34,'Privacy Analyst Evaluation'!$A$46:$F$120,4,0),""))&amp;""</f>
        <v/>
      </c>
      <c r="M34" s="209" t="str">
        <f>IFERROR(VLOOKUP($I34,'Institution Evaluation'!$A$55:$F$345,6,0),IFERROR(VLOOKUP($I34,'Privacy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x14ac:dyDescent="0.2">
      <c r="A35" s="209">
        <f>IFERROR(IF($A34+1&gt;'(backend scoring)'!$T$335,"",$A34+1),"")</f>
        <v>11</v>
      </c>
      <c r="B35" s="209" t="str">
        <f>_xlfn.XLOOKUP($A35,'(backend scoring)'!$V$2:$V$333,'(backend scoring)'!$A$2:$A$333,"")</f>
        <v>CONS-01</v>
      </c>
      <c r="C35" s="209" t="str">
        <f>IFERROR(VLOOKUP($B35,'Institution Evaluation'!$A$55:$F$345,2,0),IFERROR(VLOOKUP($B35,'Privacy Analyst Evaluation'!$A$46:$F$120,2,0),""))&amp;""</f>
        <v>Will the consultant require access to the institution's network resources?*</v>
      </c>
      <c r="D35" s="209" t="str">
        <f>IFERROR(VLOOKUP($B35,'Institution Evaluation'!$A$55:$F$345,3,0),IFERROR(VLOOKUP($B35,'Privacy Analyst Evaluation'!$A$46:$F$120,3,0),""))&amp;""</f>
        <v/>
      </c>
      <c r="E35" s="209" t="str">
        <f>IFERROR(VLOOKUP($B35,'Institution Evaluation'!$A$55:$F$345,4,0),IFERROR(VLOOKUP($B35,'Privacy Analyst Evaluation'!$A$46:$F$120,4,0),""))&amp;""</f>
        <v/>
      </c>
      <c r="F35" s="209" t="str">
        <f>IFERROR(VLOOKUP($B35,'Institution Evaluation'!$A$55:$F$345,6,0),IFERROR(VLOOKUP($B35,'Privacy Analyst Evaluation'!$A$46:$F$120,6,0),""))&amp;""</f>
        <v/>
      </c>
      <c r="G35" s="210"/>
      <c r="H35" s="209" t="str">
        <f>IFERROR(IF($H34+1&gt;'(backend scoring)'!$Q$335,"",$H34+1),"")</f>
        <v/>
      </c>
      <c r="I35" s="209" t="str">
        <f>_xlfn.XLOOKUP($H35,'(backend scoring)'!$S$2:$S$333,'(backend scoring)'!$A$2:$A$333,"")</f>
        <v/>
      </c>
      <c r="J35" s="209" t="str">
        <f>IFERROR(VLOOKUP($I35,'Institution Evaluation'!$A$55:$F$345,2,0),IFERROR(VLOOKUP($I35,'Privacy Analyst Evaluation'!$A$46:$F$120,2,0),""))</f>
        <v/>
      </c>
      <c r="K35" s="209" t="str">
        <f>IFERROR(VLOOKUP($I35,'Institution Evaluation'!$A$55:$F$345,3,0),IFERROR(VLOOKUP($I35,'Privacy Analyst Evaluation'!$A$46:$F$120,3,0),""))&amp;""</f>
        <v/>
      </c>
      <c r="L35" s="209" t="str">
        <f>IFERROR(VLOOKUP($I35,'Institution Evaluation'!$A$55:$F$345,4,0),IFERROR(VLOOKUP($I35,'Privacy Analyst Evaluation'!$A$46:$F$120,4,0),""))&amp;""</f>
        <v/>
      </c>
      <c r="M35" s="209" t="str">
        <f>IFERROR(VLOOKUP($I35,'Institution Evaluation'!$A$55:$F$345,6,0),IFERROR(VLOOKUP($I35,'Privacy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x14ac:dyDescent="0.2">
      <c r="A36" s="209">
        <f>IFERROR(IF($A35+1&gt;'(backend scoring)'!$T$335,"",$A35+1),"")</f>
        <v>12</v>
      </c>
      <c r="B36" s="209" t="str">
        <f>_xlfn.XLOOKUP($A36,'(backend scoring)'!$V$2:$V$333,'(backend scoring)'!$A$2:$A$333,"")</f>
        <v>CONS-02</v>
      </c>
      <c r="C36" s="209" t="str">
        <f>IFERROR(VLOOKUP($B36,'Institution Evaluation'!$A$55:$F$345,2,0),IFERROR(VLOOKUP($B36,'Privacy Analyst Evaluation'!$A$46:$F$120,2,0),""))&amp;""</f>
        <v>Has the consultant received training on (sensitive, HIPAA, PCI, etc.) data handling?*</v>
      </c>
      <c r="D36" s="209" t="str">
        <f>IFERROR(VLOOKUP($B36,'Institution Evaluation'!$A$55:$F$345,3,0),IFERROR(VLOOKUP($B36,'Privacy Analyst Evaluation'!$A$46:$F$120,3,0),""))&amp;""</f>
        <v/>
      </c>
      <c r="E36" s="209" t="str">
        <f>IFERROR(VLOOKUP($B36,'Institution Evaluation'!$A$55:$F$345,4,0),IFERROR(VLOOKUP($B36,'Privacy Analyst Evaluation'!$A$46:$F$120,4,0),""))&amp;""</f>
        <v/>
      </c>
      <c r="F36" s="209" t="str">
        <f>IFERROR(VLOOKUP($B36,'Institution Evaluation'!$A$55:$F$345,6,0),IFERROR(VLOOKUP($B36,'Privacy Analyst Evaluation'!$A$46:$F$120,6,0),""))&amp;""</f>
        <v/>
      </c>
      <c r="G36" s="210"/>
      <c r="H36" s="209" t="str">
        <f>IFERROR(IF($H35+1&gt;'(backend scoring)'!$Q$335,"",$H35+1),"")</f>
        <v/>
      </c>
      <c r="I36" s="209" t="str">
        <f>_xlfn.XLOOKUP($H36,'(backend scoring)'!$S$2:$S$333,'(backend scoring)'!$A$2:$A$333,"")</f>
        <v/>
      </c>
      <c r="J36" s="209" t="str">
        <f>IFERROR(VLOOKUP($I36,'Institution Evaluation'!$A$55:$F$345,2,0),IFERROR(VLOOKUP($I36,'Privacy Analyst Evaluation'!$A$46:$F$120,2,0),""))</f>
        <v/>
      </c>
      <c r="K36" s="209" t="str">
        <f>IFERROR(VLOOKUP($I36,'Institution Evaluation'!$A$55:$F$345,3,0),IFERROR(VLOOKUP($I36,'Privacy Analyst Evaluation'!$A$46:$F$120,3,0),""))&amp;""</f>
        <v/>
      </c>
      <c r="L36" s="209" t="str">
        <f>IFERROR(VLOOKUP($I36,'Institution Evaluation'!$A$55:$F$345,4,0),IFERROR(VLOOKUP($I36,'Privacy Analyst Evaluation'!$A$46:$F$120,4,0),""))&amp;""</f>
        <v/>
      </c>
      <c r="M36" s="209" t="str">
        <f>IFERROR(VLOOKUP($I36,'Institution Evaluation'!$A$55:$F$345,6,0),IFERROR(VLOOKUP($I36,'Privacy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x14ac:dyDescent="0.2">
      <c r="A37" s="209">
        <f>IFERROR(IF($A36+1&gt;'(backend scoring)'!$T$335,"",$A36+1),"")</f>
        <v>13</v>
      </c>
      <c r="B37" s="209" t="str">
        <f>_xlfn.XLOOKUP($A37,'(backend scoring)'!$V$2:$V$333,'(backend scoring)'!$A$2:$A$333,"")</f>
        <v>CONS-03</v>
      </c>
      <c r="C37" s="209" t="str">
        <f>IFERROR(VLOOKUP($B37,'Institution Evaluation'!$A$55:$F$345,2,0),IFERROR(VLOOKUP($B37,'Privacy Analyst Evaluation'!$A$46:$F$120,2,0),""))&amp;""</f>
        <v>Is the data encrypted (at rest) while in the consultant's possession?*</v>
      </c>
      <c r="D37" s="209" t="str">
        <f>IFERROR(VLOOKUP($B37,'Institution Evaluation'!$A$55:$F$345,3,0),IFERROR(VLOOKUP($B37,'Privacy Analyst Evaluation'!$A$46:$F$120,3,0),""))&amp;""</f>
        <v/>
      </c>
      <c r="E37" s="209" t="str">
        <f>IFERROR(VLOOKUP($B37,'Institution Evaluation'!$A$55:$F$345,4,0),IFERROR(VLOOKUP($B37,'Privacy Analyst Evaluation'!$A$46:$F$120,4,0),""))&amp;""</f>
        <v/>
      </c>
      <c r="F37" s="209" t="str">
        <f>IFERROR(VLOOKUP($B37,'Institution Evaluation'!$A$55:$F$345,6,0),IFERROR(VLOOKUP($B37,'Privacy Analyst Evaluation'!$A$46:$F$120,6,0),""))&amp;""</f>
        <v/>
      </c>
      <c r="G37" s="210"/>
      <c r="H37" s="209" t="str">
        <f>IFERROR(IF($H36+1&gt;'(backend scoring)'!$Q$335,"",$H36+1),"")</f>
        <v/>
      </c>
      <c r="I37" s="209" t="str">
        <f>_xlfn.XLOOKUP($H37,'(backend scoring)'!$S$2:$S$333,'(backend scoring)'!$A$2:$A$333,"")</f>
        <v/>
      </c>
      <c r="J37" s="209" t="str">
        <f>IFERROR(VLOOKUP($I37,'Institution Evaluation'!$A$55:$F$345,2,0),IFERROR(VLOOKUP($I37,'Privacy Analyst Evaluation'!$A$46:$F$120,2,0),""))</f>
        <v/>
      </c>
      <c r="K37" s="209" t="str">
        <f>IFERROR(VLOOKUP($I37,'Institution Evaluation'!$A$55:$F$345,3,0),IFERROR(VLOOKUP($I37,'Privacy Analyst Evaluation'!$A$46:$F$120,3,0),""))&amp;""</f>
        <v/>
      </c>
      <c r="L37" s="209" t="str">
        <f>IFERROR(VLOOKUP($I37,'Institution Evaluation'!$A$55:$F$345,4,0),IFERROR(VLOOKUP($I37,'Privacy Analyst Evaluation'!$A$46:$F$120,4,0),""))&amp;""</f>
        <v/>
      </c>
      <c r="M37" s="209" t="str">
        <f>IFERROR(VLOOKUP($I37,'Institution Evaluation'!$A$55:$F$345,6,0),IFERROR(VLOOKUP($I37,'Privacy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2">
      <c r="A38" s="209">
        <f>IFERROR(IF($A37+1&gt;'(backend scoring)'!$T$335,"",$A37+1),"")</f>
        <v>14</v>
      </c>
      <c r="B38" s="209" t="str">
        <f>_xlfn.XLOOKUP($A38,'(backend scoring)'!$V$2:$V$333,'(backend scoring)'!$A$2:$A$333,"")</f>
        <v>CONS-04</v>
      </c>
      <c r="C38" s="209" t="str">
        <f>IFERROR(VLOOKUP($B38,'Institution Evaluation'!$A$55:$F$345,2,0),IFERROR(VLOOKUP($B38,'Privacy Analyst Evaluation'!$A$46:$F$120,2,0),""))&amp;""</f>
        <v>Can access be restricted based on source IP address?*</v>
      </c>
      <c r="D38" s="209" t="str">
        <f>IFERROR(VLOOKUP($B38,'Institution Evaluation'!$A$55:$F$345,3,0),IFERROR(VLOOKUP($B38,'Privacy Analyst Evaluation'!$A$46:$F$120,3,0),""))&amp;""</f>
        <v/>
      </c>
      <c r="E38" s="209" t="str">
        <f>IFERROR(VLOOKUP($B38,'Institution Evaluation'!$A$55:$F$345,4,0),IFERROR(VLOOKUP($B38,'Privacy Analyst Evaluation'!$A$46:$F$120,4,0),""))&amp;""</f>
        <v/>
      </c>
      <c r="F38" s="209" t="str">
        <f>IFERROR(VLOOKUP($B38,'Institution Evaluation'!$A$55:$F$345,6,0),IFERROR(VLOOKUP($B38,'Privacy Analyst Evaluation'!$A$46:$F$120,6,0),""))&amp;""</f>
        <v/>
      </c>
      <c r="G38" s="210"/>
      <c r="H38" s="209" t="str">
        <f>IFERROR(IF($H37+1&gt;'(backend scoring)'!$Q$335,"",$H37+1),"")</f>
        <v/>
      </c>
      <c r="I38" s="209" t="str">
        <f>_xlfn.XLOOKUP($H38,'(backend scoring)'!$S$2:$S$333,'(backend scoring)'!$A$2:$A$333,"")</f>
        <v/>
      </c>
      <c r="J38" s="209" t="str">
        <f>IFERROR(VLOOKUP($I38,'Institution Evaluation'!$A$55:$F$345,2,0),IFERROR(VLOOKUP($I38,'Privacy Analyst Evaluation'!$A$46:$F$120,2,0),""))</f>
        <v/>
      </c>
      <c r="K38" s="209" t="str">
        <f>IFERROR(VLOOKUP($I38,'Institution Evaluation'!$A$55:$F$345,3,0),IFERROR(VLOOKUP($I38,'Privacy Analyst Evaluation'!$A$46:$F$120,3,0),""))&amp;""</f>
        <v/>
      </c>
      <c r="L38" s="209" t="str">
        <f>IFERROR(VLOOKUP($I38,'Institution Evaluation'!$A$55:$F$345,4,0),IFERROR(VLOOKUP($I38,'Privacy Analyst Evaluation'!$A$46:$F$120,4,0),""))&amp;""</f>
        <v/>
      </c>
      <c r="M38" s="209" t="str">
        <f>IFERROR(VLOOKUP($I38,'Institution Evaluation'!$A$55:$F$345,6,0),IFERROR(VLOOKUP($I38,'Privacy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105" x14ac:dyDescent="0.2">
      <c r="A39" s="209">
        <f>IFERROR(IF($A38+1&gt;'(backend scoring)'!$T$335,"",$A38+1),"")</f>
        <v>15</v>
      </c>
      <c r="B39" s="209" t="str">
        <f>_xlfn.XLOOKUP($A39,'(backend scoring)'!$V$2:$V$333,'(backend scoring)'!$A$2:$A$333,"")</f>
        <v>APPL-01</v>
      </c>
      <c r="C39" s="209" t="str">
        <f>IFERROR(VLOOKUP($B39,'Institution Evaluation'!$A$55:$F$345,2,0),IFERROR(VLOOKUP($B39,'Privacy Analyst Evaluation'!$A$46:$F$120,2,0),""))&amp;""</f>
        <v>Are access controls for institutional accounts based on structured rules, such as role-based access control (RBAC), attribute-based access control (ABAC), or policy-based access control (PBAC)?*</v>
      </c>
      <c r="D39" s="209" t="str">
        <f>IFERROR(VLOOKUP($B39,'Institution Evaluation'!$A$55:$F$345,3,0),IFERROR(VLOOKUP($B39,'Privacy Analyst Evaluation'!$A$46:$F$120,3,0),""))&amp;""</f>
        <v/>
      </c>
      <c r="E39" s="209" t="str">
        <f>IFERROR(VLOOKUP($B39,'Institution Evaluation'!$A$55:$F$345,4,0),IFERROR(VLOOKUP($B39,'Privacy Analyst Evaluation'!$A$46:$F$120,4,0),""))&amp;""</f>
        <v/>
      </c>
      <c r="F39" s="209" t="str">
        <f>IFERROR(VLOOKUP($B39,'Institution Evaluation'!$A$55:$F$345,6,0),IFERROR(VLOOKUP($B39,'Privacy Analyst Evaluation'!$A$46:$F$120,6,0),""))&amp;""</f>
        <v/>
      </c>
      <c r="G39" s="210"/>
      <c r="H39" s="209" t="str">
        <f>IFERROR(IF($H38+1&gt;'(backend scoring)'!$Q$335,"",$H38+1),"")</f>
        <v/>
      </c>
      <c r="I39" s="209" t="str">
        <f>_xlfn.XLOOKUP($H39,'(backend scoring)'!$S$2:$S$333,'(backend scoring)'!$A$2:$A$333,"")</f>
        <v/>
      </c>
      <c r="J39" s="209" t="str">
        <f>IFERROR(VLOOKUP($I39,'Institution Evaluation'!$A$55:$F$345,2,0),IFERROR(VLOOKUP($I39,'Privacy Analyst Evaluation'!$A$46:$F$120,2,0),""))</f>
        <v/>
      </c>
      <c r="K39" s="209" t="str">
        <f>IFERROR(VLOOKUP($I39,'Institution Evaluation'!$A$55:$F$345,3,0),IFERROR(VLOOKUP($I39,'Privacy Analyst Evaluation'!$A$46:$F$120,3,0),""))&amp;""</f>
        <v/>
      </c>
      <c r="L39" s="209" t="str">
        <f>IFERROR(VLOOKUP($I39,'Institution Evaluation'!$A$55:$F$345,4,0),IFERROR(VLOOKUP($I39,'Privacy Analyst Evaluation'!$A$46:$F$120,4,0),""))&amp;""</f>
        <v/>
      </c>
      <c r="M39" s="209" t="str">
        <f>IFERROR(VLOOKUP($I39,'Institution Evaluation'!$A$55:$F$345,6,0),IFERROR(VLOOKUP($I39,'Privacy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30" x14ac:dyDescent="0.2">
      <c r="A40" s="209">
        <f>IFERROR(IF($A39+1&gt;'(backend scoring)'!$T$335,"",$A39+1),"")</f>
        <v>16</v>
      </c>
      <c r="B40" s="209" t="str">
        <f>_xlfn.XLOOKUP($A40,'(backend scoring)'!$V$2:$V$333,'(backend scoring)'!$A$2:$A$333,"")</f>
        <v>APPL-02</v>
      </c>
      <c r="C40" s="209" t="str">
        <f>IFERROR(VLOOKUP($B40,'Institution Evaluation'!$A$55:$F$345,2,0),IFERROR(VLOOKUP($B40,'Privacy Analyst Evaluation'!$A$46:$F$120,2,0),""))&amp;""</f>
        <v>Are you using a web application firewall (WAF)?*</v>
      </c>
      <c r="D40" s="209" t="str">
        <f>IFERROR(VLOOKUP($B40,'Institution Evaluation'!$A$55:$F$345,3,0),IFERROR(VLOOKUP($B40,'Privacy Analyst Evaluation'!$A$46:$F$120,3,0),""))&amp;""</f>
        <v/>
      </c>
      <c r="E40" s="209" t="str">
        <f>IFERROR(VLOOKUP($B40,'Institution Evaluation'!$A$55:$F$345,4,0),IFERROR(VLOOKUP($B40,'Privacy Analyst Evaluation'!$A$46:$F$120,4,0),""))&amp;""</f>
        <v/>
      </c>
      <c r="F40" s="209" t="str">
        <f>IFERROR(VLOOKUP($B40,'Institution Evaluation'!$A$55:$F$345,6,0),IFERROR(VLOOKUP($B40,'Privacy Analyst Evaluation'!$A$46:$F$120,6,0),""))&amp;""</f>
        <v/>
      </c>
      <c r="G40" s="210"/>
      <c r="H40" s="209" t="str">
        <f>IFERROR(IF($H39+1&gt;'(backend scoring)'!$Q$335,"",$H39+1),"")</f>
        <v/>
      </c>
      <c r="I40" s="209" t="str">
        <f>_xlfn.XLOOKUP($H40,'(backend scoring)'!$S$2:$S$333,'(backend scoring)'!$A$2:$A$333,"")</f>
        <v/>
      </c>
      <c r="J40" s="209" t="str">
        <f>IFERROR(VLOOKUP($I40,'Institution Evaluation'!$A$55:$F$345,2,0),IFERROR(VLOOKUP($I40,'Privacy Analyst Evaluation'!$A$46:$F$120,2,0),""))</f>
        <v/>
      </c>
      <c r="K40" s="209" t="str">
        <f>IFERROR(VLOOKUP($I40,'Institution Evaluation'!$A$55:$F$345,3,0),IFERROR(VLOOKUP($I40,'Privacy Analyst Evaluation'!$A$46:$F$120,3,0),""))&amp;""</f>
        <v/>
      </c>
      <c r="L40" s="209" t="str">
        <f>IFERROR(VLOOKUP($I40,'Institution Evaluation'!$A$55:$F$345,4,0),IFERROR(VLOOKUP($I40,'Privacy Analyst Evaluation'!$A$46:$F$120,4,0),""))&amp;""</f>
        <v/>
      </c>
      <c r="M40" s="209" t="str">
        <f>IFERROR(VLOOKUP($I40,'Institution Evaluation'!$A$55:$F$345,6,0),IFERROR(VLOOKUP($I40,'Privacy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90" x14ac:dyDescent="0.2">
      <c r="A41" s="209">
        <f>IFERROR(IF($A40+1&gt;'(backend scoring)'!$T$335,"",$A40+1),"")</f>
        <v>17</v>
      </c>
      <c r="B41" s="209" t="str">
        <f>_xlfn.XLOOKUP($A41,'(backend scoring)'!$V$2:$V$333,'(backend scoring)'!$A$2:$A$333,"")</f>
        <v>APPL-03</v>
      </c>
      <c r="C41" s="209" t="str">
        <f>IFERROR(VLOOKUP($B41,'Institution Evaluation'!$A$55:$F$345,2,0),IFERROR(VLOOKUP($B41,'Privacy Analyst Evaluation'!$A$46:$F$120,2,0),""))&amp;""</f>
        <v>Are only currently supported operating system(s), software, and libraries leveraged by the system(s)/application(s) that will have access to institution's data?*</v>
      </c>
      <c r="D41" s="209" t="str">
        <f>IFERROR(VLOOKUP($B41,'Institution Evaluation'!$A$55:$F$345,3,0),IFERROR(VLOOKUP($B41,'Privacy Analyst Evaluation'!$A$46:$F$120,3,0),""))&amp;""</f>
        <v/>
      </c>
      <c r="E41" s="209" t="str">
        <f>IFERROR(VLOOKUP($B41,'Institution Evaluation'!$A$55:$F$345,4,0),IFERROR(VLOOKUP($B41,'Privacy Analyst Evaluation'!$A$46:$F$120,4,0),""))&amp;""</f>
        <v/>
      </c>
      <c r="F41" s="209" t="str">
        <f>IFERROR(VLOOKUP($B41,'Institution Evaluation'!$A$55:$F$345,6,0),IFERROR(VLOOKUP($B41,'Privacy Analyst Evaluation'!$A$46:$F$120,6,0),""))&amp;""</f>
        <v/>
      </c>
      <c r="G41" s="210"/>
      <c r="H41" s="209" t="str">
        <f>IFERROR(IF($H40+1&gt;'(backend scoring)'!$Q$335,"",$H40+1),"")</f>
        <v/>
      </c>
      <c r="I41" s="209" t="str">
        <f>_xlfn.XLOOKUP($H41,'(backend scoring)'!$S$2:$S$333,'(backend scoring)'!$A$2:$A$333,"")</f>
        <v/>
      </c>
      <c r="J41" s="209" t="str">
        <f>IFERROR(VLOOKUP($I41,'Institution Evaluation'!$A$55:$F$345,2,0),IFERROR(VLOOKUP($I41,'Privacy Analyst Evaluation'!$A$46:$F$120,2,0),""))</f>
        <v/>
      </c>
      <c r="K41" s="209" t="str">
        <f>IFERROR(VLOOKUP($I41,'Institution Evaluation'!$A$55:$F$345,3,0),IFERROR(VLOOKUP($I41,'Privacy Analyst Evaluation'!$A$46:$F$120,3,0),""))&amp;""</f>
        <v/>
      </c>
      <c r="L41" s="209" t="str">
        <f>IFERROR(VLOOKUP($I41,'Institution Evaluation'!$A$55:$F$345,4,0),IFERROR(VLOOKUP($I41,'Privacy Analyst Evaluation'!$A$46:$F$120,4,0),""))&amp;""</f>
        <v/>
      </c>
      <c r="M41" s="209" t="str">
        <f>IFERROR(VLOOKUP($I41,'Institution Evaluation'!$A$55:$F$345,6,0),IFERROR(VLOOKUP($I41,'Privacy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45" x14ac:dyDescent="0.2">
      <c r="A42" s="209">
        <f>IFERROR(IF($A41+1&gt;'(backend scoring)'!$T$335,"",$A41+1),"")</f>
        <v>18</v>
      </c>
      <c r="B42" s="209" t="str">
        <f>_xlfn.XLOOKUP($A42,'(backend scoring)'!$V$2:$V$333,'(backend scoring)'!$A$2:$A$333,"")</f>
        <v>APPL-04</v>
      </c>
      <c r="C42" s="209" t="str">
        <f>IFERROR(VLOOKUP($B42,'Institution Evaluation'!$A$55:$F$345,2,0),IFERROR(VLOOKUP($B42,'Privacy Analyst Evaluation'!$A$46:$F$120,2,0),""))&amp;""</f>
        <v>Does your application require access to location or GPS data?*</v>
      </c>
      <c r="D42" s="209" t="str">
        <f>IFERROR(VLOOKUP($B42,'Institution Evaluation'!$A$55:$F$345,3,0),IFERROR(VLOOKUP($B42,'Privacy Analyst Evaluation'!$A$46:$F$120,3,0),""))&amp;""</f>
        <v/>
      </c>
      <c r="E42" s="209" t="str">
        <f>IFERROR(VLOOKUP($B42,'Institution Evaluation'!$A$55:$F$345,4,0),IFERROR(VLOOKUP($B42,'Privacy Analyst Evaluation'!$A$46:$F$120,4,0),""))&amp;""</f>
        <v/>
      </c>
      <c r="F42" s="209" t="str">
        <f>IFERROR(VLOOKUP($B42,'Institution Evaluation'!$A$55:$F$345,6,0),IFERROR(VLOOKUP($B42,'Privacy Analyst Evaluation'!$A$46:$F$120,6,0),""))&amp;""</f>
        <v/>
      </c>
      <c r="G42" s="210"/>
      <c r="H42" s="209" t="str">
        <f>IFERROR(IF($H41+1&gt;'(backend scoring)'!$Q$335,"",$H41+1),"")</f>
        <v/>
      </c>
      <c r="I42" s="209" t="str">
        <f>_xlfn.XLOOKUP($H42,'(backend scoring)'!$S$2:$S$333,'(backend scoring)'!$A$2:$A$333,"")</f>
        <v/>
      </c>
      <c r="J42" s="209" t="str">
        <f>IFERROR(VLOOKUP($I42,'Institution Evaluation'!$A$55:$F$345,2,0),IFERROR(VLOOKUP($I42,'Privacy Analyst Evaluation'!$A$46:$F$120,2,0),""))</f>
        <v/>
      </c>
      <c r="K42" s="209" t="str">
        <f>IFERROR(VLOOKUP($I42,'Institution Evaluation'!$A$55:$F$345,3,0),IFERROR(VLOOKUP($I42,'Privacy Analyst Evaluation'!$A$46:$F$120,3,0),""))&amp;""</f>
        <v/>
      </c>
      <c r="L42" s="209" t="str">
        <f>IFERROR(VLOOKUP($I42,'Institution Evaluation'!$A$55:$F$345,4,0),IFERROR(VLOOKUP($I42,'Privacy Analyst Evaluation'!$A$46:$F$120,4,0),""))&amp;""</f>
        <v/>
      </c>
      <c r="M42" s="209" t="str">
        <f>IFERROR(VLOOKUP($I42,'Institution Evaluation'!$A$55:$F$345,6,0),IFERROR(VLOOKUP($I42,'Privacy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75" x14ac:dyDescent="0.2">
      <c r="A43" s="209">
        <f>IFERROR(IF($A42+1&gt;'(backend scoring)'!$T$335,"",$A42+1),"")</f>
        <v>19</v>
      </c>
      <c r="B43" s="209" t="str">
        <f>_xlfn.XLOOKUP($A43,'(backend scoring)'!$V$2:$V$333,'(backend scoring)'!$A$2:$A$333,"")</f>
        <v>APPL-05</v>
      </c>
      <c r="C43" s="209" t="str">
        <f>IFERROR(VLOOKUP($B43,'Institution Evaluation'!$A$55:$F$345,2,0),IFERROR(VLOOKUP($B43,'Privacy Analyst Evaluation'!$A$46:$F$120,2,0),""))&amp;""</f>
        <v>Does your application provide separation of duties between security administration, system administration, and standard user functions?*</v>
      </c>
      <c r="D43" s="209" t="str">
        <f>IFERROR(VLOOKUP($B43,'Institution Evaluation'!$A$55:$F$345,3,0),IFERROR(VLOOKUP($B43,'Privacy Analyst Evaluation'!$A$46:$F$120,3,0),""))&amp;""</f>
        <v/>
      </c>
      <c r="E43" s="209" t="str">
        <f>IFERROR(VLOOKUP($B43,'Institution Evaluation'!$A$55:$F$345,4,0),IFERROR(VLOOKUP($B43,'Privacy Analyst Evaluation'!$A$46:$F$120,4,0),""))&amp;""</f>
        <v/>
      </c>
      <c r="F43" s="209" t="str">
        <f>IFERROR(VLOOKUP($B43,'Institution Evaluation'!$A$55:$F$345,6,0),IFERROR(VLOOKUP($B43,'Privacy Analyst Evaluation'!$A$46:$F$120,6,0),""))&amp;""</f>
        <v/>
      </c>
      <c r="G43" s="210"/>
      <c r="H43" s="209" t="str">
        <f>IFERROR(IF($H42+1&gt;'(backend scoring)'!$Q$335,"",$H42+1),"")</f>
        <v/>
      </c>
      <c r="I43" s="209" t="str">
        <f>_xlfn.XLOOKUP($H43,'(backend scoring)'!$S$2:$S$333,'(backend scoring)'!$A$2:$A$333,"")</f>
        <v/>
      </c>
      <c r="J43" s="209" t="str">
        <f>IFERROR(VLOOKUP($I43,'Institution Evaluation'!$A$55:$F$345,2,0),IFERROR(VLOOKUP($I43,'Privacy Analyst Evaluation'!$A$46:$F$120,2,0),""))</f>
        <v/>
      </c>
      <c r="K43" s="209" t="str">
        <f>IFERROR(VLOOKUP($I43,'Institution Evaluation'!$A$55:$F$345,3,0),IFERROR(VLOOKUP($I43,'Privacy Analyst Evaluation'!$A$46:$F$120,3,0),""))&amp;""</f>
        <v/>
      </c>
      <c r="L43" s="209" t="str">
        <f>IFERROR(VLOOKUP($I43,'Institution Evaluation'!$A$55:$F$345,4,0),IFERROR(VLOOKUP($I43,'Privacy Analyst Evaluation'!$A$46:$F$120,4,0),""))&amp;""</f>
        <v/>
      </c>
      <c r="M43" s="209" t="str">
        <f>IFERROR(VLOOKUP($I43,'Institution Evaluation'!$A$55:$F$345,6,0),IFERROR(VLOOKUP($I43,'Privacy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60" x14ac:dyDescent="0.2">
      <c r="A44" s="209">
        <f>IFERROR(IF($A43+1&gt;'(backend scoring)'!$T$335,"",$A43+1),"")</f>
        <v>20</v>
      </c>
      <c r="B44" s="209" t="str">
        <f>_xlfn.XLOOKUP($A44,'(backend scoring)'!$V$2:$V$333,'(backend scoring)'!$A$2:$A$333,"")</f>
        <v>APPL-06</v>
      </c>
      <c r="C44" s="209" t="str">
        <f>IFERROR(VLOOKUP($B44,'Institution Evaluation'!$A$55:$F$345,2,0),IFERROR(VLOOKUP($B44,'Privacy Analyst Evaluation'!$A$46:$F$120,2,0),""))&amp;""</f>
        <v>Do you subject your code to static code analysis and/or static application security testing prior to release?*</v>
      </c>
      <c r="D44" s="209" t="str">
        <f>IFERROR(VLOOKUP($B44,'Institution Evaluation'!$A$55:$F$345,3,0),IFERROR(VLOOKUP($B44,'Privacy Analyst Evaluation'!$A$46:$F$120,3,0),""))&amp;""</f>
        <v/>
      </c>
      <c r="E44" s="209" t="str">
        <f>IFERROR(VLOOKUP($B44,'Institution Evaluation'!$A$55:$F$345,4,0),IFERROR(VLOOKUP($B44,'Privacy Analyst Evaluation'!$A$46:$F$120,4,0),""))&amp;""</f>
        <v/>
      </c>
      <c r="F44" s="209" t="str">
        <f>IFERROR(VLOOKUP($B44,'Institution Evaluation'!$A$55:$F$345,6,0),IFERROR(VLOOKUP($B44,'Privacy Analyst Evaluation'!$A$46:$F$120,6,0),""))&amp;""</f>
        <v/>
      </c>
      <c r="G44" s="210"/>
      <c r="H44" s="209" t="str">
        <f>IFERROR(IF($H43+1&gt;'(backend scoring)'!$Q$335,"",$H43+1),"")</f>
        <v/>
      </c>
      <c r="I44" s="209" t="str">
        <f>_xlfn.XLOOKUP($H44,'(backend scoring)'!$S$2:$S$333,'(backend scoring)'!$A$2:$A$333,"")</f>
        <v/>
      </c>
      <c r="J44" s="209" t="str">
        <f>IFERROR(VLOOKUP($I44,'Institution Evaluation'!$A$55:$F$345,2,0),IFERROR(VLOOKUP($I44,'Privacy Analyst Evaluation'!$A$46:$F$120,2,0),""))</f>
        <v/>
      </c>
      <c r="K44" s="209" t="str">
        <f>IFERROR(VLOOKUP($I44,'Institution Evaluation'!$A$55:$F$345,3,0),IFERROR(VLOOKUP($I44,'Privacy Analyst Evaluation'!$A$46:$F$120,3,0),""))&amp;""</f>
        <v/>
      </c>
      <c r="L44" s="209" t="str">
        <f>IFERROR(VLOOKUP($I44,'Institution Evaluation'!$A$55:$F$345,4,0),IFERROR(VLOOKUP($I44,'Privacy Analyst Evaluation'!$A$46:$F$120,4,0),""))&amp;""</f>
        <v/>
      </c>
      <c r="M44" s="209" t="str">
        <f>IFERROR(VLOOKUP($I44,'Institution Evaluation'!$A$55:$F$345,6,0),IFERROR(VLOOKUP($I44,'Privacy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0" x14ac:dyDescent="0.2">
      <c r="A45" s="209">
        <f>IFERROR(IF($A44+1&gt;'(backend scoring)'!$T$335,"",$A44+1),"")</f>
        <v>21</v>
      </c>
      <c r="B45" s="209" t="str">
        <f>_xlfn.XLOOKUP($A45,'(backend scoring)'!$V$2:$V$333,'(backend scoring)'!$A$2:$A$333,"")</f>
        <v>APPL-07</v>
      </c>
      <c r="C45" s="209" t="str">
        <f>IFERROR(VLOOKUP($B45,'Institution Evaluation'!$A$55:$F$345,2,0),IFERROR(VLOOKUP($B45,'Privacy Analyst Evaluation'!$A$46:$F$120,2,0),""))&amp;""</f>
        <v>Do you have software testing processes (dynamic or static) that are established and followed?*</v>
      </c>
      <c r="D45" s="209" t="str">
        <f>IFERROR(VLOOKUP($B45,'Institution Evaluation'!$A$55:$F$345,3,0),IFERROR(VLOOKUP($B45,'Privacy Analyst Evaluation'!$A$46:$F$120,3,0),""))&amp;""</f>
        <v/>
      </c>
      <c r="E45" s="209" t="str">
        <f>IFERROR(VLOOKUP($B45,'Institution Evaluation'!$A$55:$F$345,4,0),IFERROR(VLOOKUP($B45,'Privacy Analyst Evaluation'!$A$46:$F$120,4,0),""))&amp;""</f>
        <v/>
      </c>
      <c r="F45" s="209" t="str">
        <f>IFERROR(VLOOKUP($B45,'Institution Evaluation'!$A$55:$F$345,6,0),IFERROR(VLOOKUP($B45,'Privacy Analyst Evaluation'!$A$46:$F$120,6,0),""))&amp;""</f>
        <v/>
      </c>
      <c r="G45" s="210"/>
      <c r="H45" s="209" t="str">
        <f>IFERROR(IF($H44+1&gt;'(backend scoring)'!$Q$335,"",$H44+1),"")</f>
        <v/>
      </c>
      <c r="I45" s="209" t="str">
        <f>_xlfn.XLOOKUP($H45,'(backend scoring)'!$S$2:$S$333,'(backend scoring)'!$A$2:$A$333,"")</f>
        <v/>
      </c>
      <c r="J45" s="209" t="str">
        <f>IFERROR(VLOOKUP($I45,'Institution Evaluation'!$A$55:$F$345,2,0),IFERROR(VLOOKUP($I45,'Privacy Analyst Evaluation'!$A$46:$F$120,2,0),""))</f>
        <v/>
      </c>
      <c r="K45" s="209" t="str">
        <f>IFERROR(VLOOKUP($I45,'Institution Evaluation'!$A$55:$F$345,3,0),IFERROR(VLOOKUP($I45,'Privacy Analyst Evaluation'!$A$46:$F$120,3,0),""))&amp;""</f>
        <v/>
      </c>
      <c r="L45" s="209" t="str">
        <f>IFERROR(VLOOKUP($I45,'Institution Evaluation'!$A$55:$F$345,4,0),IFERROR(VLOOKUP($I45,'Privacy Analyst Evaluation'!$A$46:$F$120,4,0),""))&amp;""</f>
        <v/>
      </c>
      <c r="M45" s="209" t="str">
        <f>IFERROR(VLOOKUP($I45,'Institution Evaluation'!$A$55:$F$345,6,0),IFERROR(VLOOKUP($I45,'Privacy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0" x14ac:dyDescent="0.2">
      <c r="A46" s="209">
        <f>IFERROR(IF($A45+1&gt;'(backend scoring)'!$T$335,"",$A45+1),"")</f>
        <v>22</v>
      </c>
      <c r="B46" s="209" t="str">
        <f>_xlfn.XLOOKUP($A46,'(backend scoring)'!$V$2:$V$333,'(backend scoring)'!$A$2:$A$333,"")</f>
        <v>AAAI-01</v>
      </c>
      <c r="C46" s="209" t="str">
        <f>IFERROR(VLOOKUP($B46,'Institution Evaluation'!$A$55:$F$345,2,0),IFERROR(VLOOKUP($B46,'Privacy Analyst Evaluation'!$A$46:$F$120,2,0),""))&amp;""</f>
        <v>Does your solution support single sign-on (SSO) protocols for user and administrator authentication?*</v>
      </c>
      <c r="D46" s="209" t="str">
        <f>IFERROR(VLOOKUP($B46,'Institution Evaluation'!$A$55:$F$345,3,0),IFERROR(VLOOKUP($B46,'Privacy Analyst Evaluation'!$A$46:$F$120,3,0),""))&amp;""</f>
        <v/>
      </c>
      <c r="E46" s="209" t="str">
        <f>IFERROR(VLOOKUP($B46,'Institution Evaluation'!$A$55:$F$345,4,0),IFERROR(VLOOKUP($B46,'Privacy Analyst Evaluation'!$A$46:$F$120,4,0),""))&amp;""</f>
        <v/>
      </c>
      <c r="F46" s="209" t="str">
        <f>IFERROR(VLOOKUP($B46,'Institution Evaluation'!$A$55:$F$345,6,0),IFERROR(VLOOKUP($B46,'Privacy Analyst Evaluation'!$A$46:$F$120,6,0),""))&amp;""</f>
        <v/>
      </c>
      <c r="G46" s="210"/>
      <c r="H46" s="209" t="str">
        <f>IFERROR(IF($H45+1&gt;'(backend scoring)'!$Q$335,"",$H45+1),"")</f>
        <v/>
      </c>
      <c r="I46" s="209" t="str">
        <f>_xlfn.XLOOKUP($H46,'(backend scoring)'!$S$2:$S$333,'(backend scoring)'!$A$2:$A$333,"")</f>
        <v/>
      </c>
      <c r="J46" s="209" t="str">
        <f>IFERROR(VLOOKUP($I46,'Institution Evaluation'!$A$55:$F$345,2,0),IFERROR(VLOOKUP($I46,'Privacy Analyst Evaluation'!$A$46:$F$120,2,0),""))</f>
        <v/>
      </c>
      <c r="K46" s="209" t="str">
        <f>IFERROR(VLOOKUP($I46,'Institution Evaluation'!$A$55:$F$345,3,0),IFERROR(VLOOKUP($I46,'Privacy Analyst Evaluation'!$A$46:$F$120,3,0),""))&amp;""</f>
        <v/>
      </c>
      <c r="L46" s="209" t="str">
        <f>IFERROR(VLOOKUP($I46,'Institution Evaluation'!$A$55:$F$345,4,0),IFERROR(VLOOKUP($I46,'Privacy Analyst Evaluation'!$A$46:$F$120,4,0),""))&amp;""</f>
        <v/>
      </c>
      <c r="M46" s="209" t="str">
        <f>IFERROR(VLOOKUP($I46,'Institution Evaluation'!$A$55:$F$345,6,0),IFERROR(VLOOKUP($I46,'Privacy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75" x14ac:dyDescent="0.2">
      <c r="A47" s="209">
        <f>IFERROR(IF($A46+1&gt;'(backend scoring)'!$T$335,"",$A46+1),"")</f>
        <v>23</v>
      </c>
      <c r="B47" s="209" t="str">
        <f>_xlfn.XLOOKUP($A47,'(backend scoring)'!$V$2:$V$333,'(backend scoring)'!$A$2:$A$333,"")</f>
        <v>AAAI-02</v>
      </c>
      <c r="C47" s="209" t="str">
        <f>IFERROR(VLOOKUP($B47,'Institution Evaluation'!$A$55:$F$345,2,0),IFERROR(VLOOKUP($B47,'Privacy Analyst Evaluation'!$A$46:$F$120,2,0),""))&amp;""</f>
        <v>For customers not using SSO, does your solution support local authentication protocols for user and administrator authentication?*</v>
      </c>
      <c r="D47" s="209" t="str">
        <f>IFERROR(VLOOKUP($B47,'Institution Evaluation'!$A$55:$F$345,3,0),IFERROR(VLOOKUP($B47,'Privacy Analyst Evaluation'!$A$46:$F$120,3,0),""))&amp;""</f>
        <v/>
      </c>
      <c r="E47" s="209" t="str">
        <f>IFERROR(VLOOKUP($B47,'Institution Evaluation'!$A$55:$F$345,4,0),IFERROR(VLOOKUP($B47,'Privacy Analyst Evaluation'!$A$46:$F$120,4,0),""))&amp;""</f>
        <v/>
      </c>
      <c r="F47" s="209" t="str">
        <f>IFERROR(VLOOKUP($B47,'Institution Evaluation'!$A$55:$F$345,6,0),IFERROR(VLOOKUP($B47,'Privacy Analyst Evaluation'!$A$46:$F$120,6,0),""))&amp;""</f>
        <v/>
      </c>
      <c r="G47" s="210"/>
      <c r="H47" s="209" t="str">
        <f>IFERROR(IF($H46+1&gt;'(backend scoring)'!$Q$335,"",$H46+1),"")</f>
        <v/>
      </c>
      <c r="I47" s="209" t="str">
        <f>_xlfn.XLOOKUP($H47,'(backend scoring)'!$S$2:$S$333,'(backend scoring)'!$A$2:$A$333,"")</f>
        <v/>
      </c>
      <c r="J47" s="209" t="str">
        <f>IFERROR(VLOOKUP($I47,'Institution Evaluation'!$A$55:$F$345,2,0),IFERROR(VLOOKUP($I47,'Privacy Analyst Evaluation'!$A$46:$F$120,2,0),""))</f>
        <v/>
      </c>
      <c r="K47" s="209" t="str">
        <f>IFERROR(VLOOKUP($I47,'Institution Evaluation'!$A$55:$F$345,3,0),IFERROR(VLOOKUP($I47,'Privacy Analyst Evaluation'!$A$46:$F$120,3,0),""))&amp;""</f>
        <v/>
      </c>
      <c r="L47" s="209" t="str">
        <f>IFERROR(VLOOKUP($I47,'Institution Evaluation'!$A$55:$F$345,4,0),IFERROR(VLOOKUP($I47,'Privacy Analyst Evaluation'!$A$46:$F$120,4,0),""))&amp;""</f>
        <v/>
      </c>
      <c r="M47" s="209" t="str">
        <f>IFERROR(VLOOKUP($I47,'Institution Evaluation'!$A$55:$F$345,6,0),IFERROR(VLOOKUP($I47,'Privacy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75" x14ac:dyDescent="0.2">
      <c r="A48" s="209">
        <f>IFERROR(IF($A47+1&gt;'(backend scoring)'!$T$335,"",$A47+1),"")</f>
        <v>24</v>
      </c>
      <c r="B48" s="209" t="str">
        <f>_xlfn.XLOOKUP($A48,'(backend scoring)'!$V$2:$V$333,'(backend scoring)'!$A$2:$A$333,"")</f>
        <v>AAAI-03</v>
      </c>
      <c r="C48" s="209" t="str">
        <f>IFERROR(VLOOKUP($B48,'Institution Evaluation'!$A$55:$F$345,2,0),IFERROR(VLOOKUP($B48,'Privacy Analyst Evaluation'!$A$46:$F$120,2,0),""))&amp;""</f>
        <v>For customers not using SSO, can you enforce password/passphrase complexity requirements (provided by the institution)?*</v>
      </c>
      <c r="D48" s="209" t="str">
        <f>IFERROR(VLOOKUP($B48,'Institution Evaluation'!$A$55:$F$345,3,0),IFERROR(VLOOKUP($B48,'Privacy Analyst Evaluation'!$A$46:$F$120,3,0),""))&amp;""</f>
        <v/>
      </c>
      <c r="E48" s="209" t="str">
        <f>IFERROR(VLOOKUP($B48,'Institution Evaluation'!$A$55:$F$345,4,0),IFERROR(VLOOKUP($B48,'Privacy Analyst Evaluation'!$A$46:$F$120,4,0),""))&amp;""</f>
        <v/>
      </c>
      <c r="F48" s="209" t="str">
        <f>IFERROR(VLOOKUP($B48,'Institution Evaluation'!$A$55:$F$345,6,0),IFERROR(VLOOKUP($B48,'Privacy Analyst Evaluation'!$A$46:$F$120,6,0),""))&amp;""</f>
        <v/>
      </c>
      <c r="G48" s="210"/>
      <c r="H48" s="209" t="str">
        <f>IFERROR(IF($H47+1&gt;'(backend scoring)'!$Q$335,"",$H47+1),"")</f>
        <v/>
      </c>
      <c r="I48" s="209" t="str">
        <f>_xlfn.XLOOKUP($H48,'(backend scoring)'!$S$2:$S$333,'(backend scoring)'!$A$2:$A$333,"")</f>
        <v/>
      </c>
      <c r="J48" s="209" t="str">
        <f>IFERROR(VLOOKUP($I48,'Institution Evaluation'!$A$55:$F$345,2,0),IFERROR(VLOOKUP($I48,'Privacy Analyst Evaluation'!$A$46:$F$120,2,0),""))</f>
        <v/>
      </c>
      <c r="K48" s="209" t="str">
        <f>IFERROR(VLOOKUP($I48,'Institution Evaluation'!$A$55:$F$345,3,0),IFERROR(VLOOKUP($I48,'Privacy Analyst Evaluation'!$A$46:$F$120,3,0),""))&amp;""</f>
        <v/>
      </c>
      <c r="L48" s="209" t="str">
        <f>IFERROR(VLOOKUP($I48,'Institution Evaluation'!$A$55:$F$345,4,0),IFERROR(VLOOKUP($I48,'Privacy Analyst Evaluation'!$A$46:$F$120,4,0),""))&amp;""</f>
        <v/>
      </c>
      <c r="M48" s="209" t="str">
        <f>IFERROR(VLOOKUP($I48,'Institution Evaluation'!$A$55:$F$345,6,0),IFERROR(VLOOKUP($I48,'Privacy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60" x14ac:dyDescent="0.2">
      <c r="A49" s="209">
        <f>IFERROR(IF($A48+1&gt;'(backend scoring)'!$T$335,"",$A48+1),"")</f>
        <v>25</v>
      </c>
      <c r="B49" s="209" t="str">
        <f>_xlfn.XLOOKUP($A49,'(backend scoring)'!$V$2:$V$333,'(backend scoring)'!$A$2:$A$333,"")</f>
        <v>AAAI-04</v>
      </c>
      <c r="C49" s="209" t="str">
        <f>IFERROR(VLOOKUP($B49,'Institution Evaluation'!$A$55:$F$345,2,0),IFERROR(VLOOKUP($B49,'Privacy Analyst Evaluation'!$A$46:$F$120,2,0),""))&amp;""</f>
        <v>For customers not using SSO, does the system have password complexity or length limitations and/or restrictions?*</v>
      </c>
      <c r="D49" s="209" t="str">
        <f>IFERROR(VLOOKUP($B49,'Institution Evaluation'!$A$55:$F$345,3,0),IFERROR(VLOOKUP($B49,'Privacy Analyst Evaluation'!$A$46:$F$120,3,0),""))&amp;""</f>
        <v/>
      </c>
      <c r="E49" s="209" t="str">
        <f>IFERROR(VLOOKUP($B49,'Institution Evaluation'!$A$55:$F$345,4,0),IFERROR(VLOOKUP($B49,'Privacy Analyst Evaluation'!$A$46:$F$120,4,0),""))&amp;""</f>
        <v/>
      </c>
      <c r="F49" s="209" t="str">
        <f>IFERROR(VLOOKUP($B49,'Institution Evaluation'!$A$55:$F$345,6,0),IFERROR(VLOOKUP($B49,'Privacy Analyst Evaluation'!$A$46:$F$120,6,0),""))&amp;""</f>
        <v/>
      </c>
      <c r="G49" s="210"/>
      <c r="H49" s="209" t="str">
        <f>IFERROR(IF($H48+1&gt;'(backend scoring)'!$Q$335,"",$H48+1),"")</f>
        <v/>
      </c>
      <c r="I49" s="209" t="str">
        <f>_xlfn.XLOOKUP($H49,'(backend scoring)'!$S$2:$S$333,'(backend scoring)'!$A$2:$A$333,"")</f>
        <v/>
      </c>
      <c r="J49" s="209" t="str">
        <f>IFERROR(VLOOKUP($I49,'Institution Evaluation'!$A$55:$F$345,2,0),IFERROR(VLOOKUP($I49,'Privacy Analyst Evaluation'!$A$46:$F$120,2,0),""))</f>
        <v/>
      </c>
      <c r="K49" s="209" t="str">
        <f>IFERROR(VLOOKUP($I49,'Institution Evaluation'!$A$55:$F$345,3,0),IFERROR(VLOOKUP($I49,'Privacy Analyst Evaluation'!$A$46:$F$120,3,0),""))&amp;""</f>
        <v/>
      </c>
      <c r="L49" s="209" t="str">
        <f>IFERROR(VLOOKUP($I49,'Institution Evaluation'!$A$55:$F$345,4,0),IFERROR(VLOOKUP($I49,'Privacy Analyst Evaluation'!$A$46:$F$120,4,0),""))&amp;""</f>
        <v/>
      </c>
      <c r="M49" s="209" t="str">
        <f>IFERROR(VLOOKUP($I49,'Institution Evaluation'!$A$55:$F$345,6,0),IFERROR(VLOOKUP($I49,'Privacy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90" x14ac:dyDescent="0.2">
      <c r="A50" s="209">
        <f>IFERROR(IF($A49+1&gt;'(backend scoring)'!$T$335,"",$A49+1),"")</f>
        <v>26</v>
      </c>
      <c r="B50" s="209" t="str">
        <f>_xlfn.XLOOKUP($A50,'(backend scoring)'!$V$2:$V$333,'(backend scoring)'!$A$2:$A$333,"")</f>
        <v>AAAI-05</v>
      </c>
      <c r="C50" s="209" t="str">
        <f>IFERROR(VLOOKUP($B50,'Institution Evaluation'!$A$55:$F$345,2,0),IFERROR(VLOOKUP($B50,'Privacy Analyst Evaluation'!$A$46:$F$120,2,0),""))&amp;""</f>
        <v>For customers not using SSO, do you have documented password/passphrase reset procedures that are currently implemented in the system and/or customer support?*</v>
      </c>
      <c r="D50" s="209" t="str">
        <f>IFERROR(VLOOKUP($B50,'Institution Evaluation'!$A$55:$F$345,3,0),IFERROR(VLOOKUP($B50,'Privacy Analyst Evaluation'!$A$46:$F$120,3,0),""))&amp;""</f>
        <v/>
      </c>
      <c r="E50" s="209" t="str">
        <f>IFERROR(VLOOKUP($B50,'Institution Evaluation'!$A$55:$F$345,4,0),IFERROR(VLOOKUP($B50,'Privacy Analyst Evaluation'!$A$46:$F$120,4,0),""))&amp;""</f>
        <v/>
      </c>
      <c r="F50" s="209" t="str">
        <f>IFERROR(VLOOKUP($B50,'Institution Evaluation'!$A$55:$F$345,6,0),IFERROR(VLOOKUP($B50,'Privacy Analyst Evaluation'!$A$46:$F$120,6,0),""))&amp;""</f>
        <v/>
      </c>
      <c r="G50" s="210"/>
      <c r="H50" s="209" t="str">
        <f>IFERROR(IF($H49+1&gt;'(backend scoring)'!$Q$335,"",$H49+1),"")</f>
        <v/>
      </c>
      <c r="I50" s="209" t="str">
        <f>_xlfn.XLOOKUP($H50,'(backend scoring)'!$S$2:$S$333,'(backend scoring)'!$A$2:$A$333,"")</f>
        <v/>
      </c>
      <c r="J50" s="209" t="str">
        <f>IFERROR(VLOOKUP($I50,'Institution Evaluation'!$A$55:$F$345,2,0),IFERROR(VLOOKUP($I50,'Privacy Analyst Evaluation'!$A$46:$F$120,2,0),""))</f>
        <v/>
      </c>
      <c r="K50" s="209" t="str">
        <f>IFERROR(VLOOKUP($I50,'Institution Evaluation'!$A$55:$F$345,3,0),IFERROR(VLOOKUP($I50,'Privacy Analyst Evaluation'!$A$46:$F$120,3,0),""))&amp;""</f>
        <v/>
      </c>
      <c r="L50" s="209" t="str">
        <f>IFERROR(VLOOKUP($I50,'Institution Evaluation'!$A$55:$F$345,4,0),IFERROR(VLOOKUP($I50,'Privacy Analyst Evaluation'!$A$46:$F$120,4,0),""))&amp;""</f>
        <v/>
      </c>
      <c r="M50" s="209" t="str">
        <f>IFERROR(VLOOKUP($I50,'Institution Evaluation'!$A$55:$F$345,6,0),IFERROR(VLOOKUP($I50,'Privacy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60" x14ac:dyDescent="0.2">
      <c r="A51" s="209">
        <f>IFERROR(IF($A50+1&gt;'(backend scoring)'!$T$335,"",$A50+1),"")</f>
        <v>27</v>
      </c>
      <c r="B51" s="209" t="str">
        <f>_xlfn.XLOOKUP($A51,'(backend scoring)'!$V$2:$V$333,'(backend scoring)'!$A$2:$A$333,"")</f>
        <v>AAAI-06</v>
      </c>
      <c r="C51" s="209" t="str">
        <f>IFERROR(VLOOKUP($B51,'Institution Evaluation'!$A$55:$F$345,2,0),IFERROR(VLOOKUP($B51,'Privacy Analyst Evaluation'!$A$46:$F$120,2,0),""))&amp;""</f>
        <v>Does your organization participate in InCommon or another eduGAIN-affiliated trust federation?*</v>
      </c>
      <c r="D51" s="209" t="str">
        <f>IFERROR(VLOOKUP($B51,'Institution Evaluation'!$A$55:$F$345,3,0),IFERROR(VLOOKUP($B51,'Privacy Analyst Evaluation'!$A$46:$F$120,3,0),""))&amp;""</f>
        <v/>
      </c>
      <c r="E51" s="209" t="str">
        <f>IFERROR(VLOOKUP($B51,'Institution Evaluation'!$A$55:$F$345,4,0),IFERROR(VLOOKUP($B51,'Privacy Analyst Evaluation'!$A$46:$F$120,4,0),""))&amp;""</f>
        <v/>
      </c>
      <c r="F51" s="209" t="str">
        <f>IFERROR(VLOOKUP($B51,'Institution Evaluation'!$A$55:$F$345,6,0),IFERROR(VLOOKUP($B51,'Privacy Analyst Evaluation'!$A$46:$F$120,6,0),""))&amp;""</f>
        <v/>
      </c>
      <c r="G51" s="210"/>
      <c r="H51" s="209" t="str">
        <f>IFERROR(IF($H50+1&gt;'(backend scoring)'!$Q$335,"",$H50+1),"")</f>
        <v/>
      </c>
      <c r="I51" s="209" t="str">
        <f>_xlfn.XLOOKUP($H51,'(backend scoring)'!$S$2:$S$333,'(backend scoring)'!$A$2:$A$333,"")</f>
        <v/>
      </c>
      <c r="J51" s="209" t="str">
        <f>IFERROR(VLOOKUP($I51,'Institution Evaluation'!$A$55:$F$345,2,0),IFERROR(VLOOKUP($I51,'Privacy Analyst Evaluation'!$A$46:$F$120,2,0),""))</f>
        <v/>
      </c>
      <c r="K51" s="209" t="str">
        <f>IFERROR(VLOOKUP($I51,'Institution Evaluation'!$A$55:$F$345,3,0),IFERROR(VLOOKUP($I51,'Privacy Analyst Evaluation'!$A$46:$F$120,3,0),""))&amp;""</f>
        <v/>
      </c>
      <c r="L51" s="209" t="str">
        <f>IFERROR(VLOOKUP($I51,'Institution Evaluation'!$A$55:$F$345,4,0),IFERROR(VLOOKUP($I51,'Privacy Analyst Evaluation'!$A$46:$F$120,4,0),""))&amp;""</f>
        <v/>
      </c>
      <c r="M51" s="209" t="str">
        <f>IFERROR(VLOOKUP($I51,'Institution Evaluation'!$A$55:$F$345,6,0),IFERROR(VLOOKUP($I51,'Privacy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x14ac:dyDescent="0.2">
      <c r="A52" s="209">
        <f>IFERROR(IF($A51+1&gt;'(backend scoring)'!$T$335,"",$A51+1),"")</f>
        <v>28</v>
      </c>
      <c r="B52" s="209" t="str">
        <f>_xlfn.XLOOKUP($A52,'(backend scoring)'!$V$2:$V$333,'(backend scoring)'!$A$2:$A$333,"")</f>
        <v>AAAI-07</v>
      </c>
      <c r="C52" s="209" t="str">
        <f>IFERROR(VLOOKUP($B52,'Institution Evaluation'!$A$55:$F$345,2,0),IFERROR(VLOOKUP($B52,'Privacy Analyst Evaluation'!$A$46:$F$120,2,0),""))&amp;""</f>
        <v>Are there any passwords/passphrases hard-coded into your systems or solutions?*</v>
      </c>
      <c r="D52" s="209" t="str">
        <f>IFERROR(VLOOKUP($B52,'Institution Evaluation'!$A$55:$F$345,3,0),IFERROR(VLOOKUP($B52,'Privacy Analyst Evaluation'!$A$46:$F$120,3,0),""))&amp;""</f>
        <v/>
      </c>
      <c r="E52" s="209" t="str">
        <f>IFERROR(VLOOKUP($B52,'Institution Evaluation'!$A$55:$F$345,4,0),IFERROR(VLOOKUP($B52,'Privacy Analyst Evaluation'!$A$46:$F$120,4,0),""))&amp;""</f>
        <v/>
      </c>
      <c r="F52" s="209" t="str">
        <f>IFERROR(VLOOKUP($B52,'Institution Evaluation'!$A$55:$F$345,6,0),IFERROR(VLOOKUP($B52,'Privacy Analyst Evaluation'!$A$46:$F$120,6,0),""))&amp;""</f>
        <v/>
      </c>
      <c r="G52" s="210"/>
      <c r="H52" s="209" t="str">
        <f>IFERROR(IF($H51+1&gt;'(backend scoring)'!$Q$335,"",$H51+1),"")</f>
        <v/>
      </c>
      <c r="I52" s="209" t="str">
        <f>_xlfn.XLOOKUP($H52,'(backend scoring)'!$S$2:$S$333,'(backend scoring)'!$A$2:$A$333,"")</f>
        <v/>
      </c>
      <c r="J52" s="209" t="str">
        <f>IFERROR(VLOOKUP($I52,'Institution Evaluation'!$A$55:$F$345,2,0),IFERROR(VLOOKUP($I52,'Privacy Analyst Evaluation'!$A$46:$F$120,2,0),""))</f>
        <v/>
      </c>
      <c r="K52" s="209" t="str">
        <f>IFERROR(VLOOKUP($I52,'Institution Evaluation'!$A$55:$F$345,3,0),IFERROR(VLOOKUP($I52,'Privacy Analyst Evaluation'!$A$46:$F$120,3,0),""))&amp;""</f>
        <v/>
      </c>
      <c r="L52" s="209" t="str">
        <f>IFERROR(VLOOKUP($I52,'Institution Evaluation'!$A$55:$F$345,4,0),IFERROR(VLOOKUP($I52,'Privacy Analyst Evaluation'!$A$46:$F$120,4,0),""))&amp;""</f>
        <v/>
      </c>
      <c r="M52" s="209" t="str">
        <f>IFERROR(VLOOKUP($I52,'Institution Evaluation'!$A$55:$F$345,6,0),IFERROR(VLOOKUP($I52,'Privacy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30" x14ac:dyDescent="0.2">
      <c r="A53" s="209">
        <f>IFERROR(IF($A52+1&gt;'(backend scoring)'!$T$335,"",$A52+1),"")</f>
        <v>29</v>
      </c>
      <c r="B53" s="209" t="str">
        <f>_xlfn.XLOOKUP($A53,'(backend scoring)'!$V$2:$V$333,'(backend scoring)'!$A$2:$A$333,"")</f>
        <v>AAAI-08</v>
      </c>
      <c r="C53" s="209" t="str">
        <f>IFERROR(VLOOKUP($B53,'Institution Evaluation'!$A$55:$F$345,2,0),IFERROR(VLOOKUP($B53,'Privacy Analyst Evaluation'!$A$46:$F$120,2,0),""))&amp;""</f>
        <v>Are you storing any passwords in plaintext?*</v>
      </c>
      <c r="D53" s="209" t="str">
        <f>IFERROR(VLOOKUP($B53,'Institution Evaluation'!$A$55:$F$345,3,0),IFERROR(VLOOKUP($B53,'Privacy Analyst Evaluation'!$A$46:$F$120,3,0),""))&amp;""</f>
        <v/>
      </c>
      <c r="E53" s="209" t="str">
        <f>IFERROR(VLOOKUP($B53,'Institution Evaluation'!$A$55:$F$345,4,0),IFERROR(VLOOKUP($B53,'Privacy Analyst Evaluation'!$A$46:$F$120,4,0),""))&amp;""</f>
        <v/>
      </c>
      <c r="F53" s="209" t="str">
        <f>IFERROR(VLOOKUP($B53,'Institution Evaluation'!$A$55:$F$345,6,0),IFERROR(VLOOKUP($B53,'Privacy Analyst Evaluation'!$A$46:$F$120,6,0),""))&amp;""</f>
        <v/>
      </c>
      <c r="G53" s="210"/>
      <c r="H53" s="209" t="str">
        <f>IFERROR(IF($H52+1&gt;'(backend scoring)'!$Q$335,"",$H52+1),"")</f>
        <v/>
      </c>
      <c r="I53" s="209" t="str">
        <f>_xlfn.XLOOKUP($H53,'(backend scoring)'!$S$2:$S$333,'(backend scoring)'!$A$2:$A$333,"")</f>
        <v/>
      </c>
      <c r="J53" s="209" t="str">
        <f>IFERROR(VLOOKUP($I53,'Institution Evaluation'!$A$55:$F$345,2,0),IFERROR(VLOOKUP($I53,'Privacy Analyst Evaluation'!$A$46:$F$120,2,0),""))</f>
        <v/>
      </c>
      <c r="K53" s="209" t="str">
        <f>IFERROR(VLOOKUP($I53,'Institution Evaluation'!$A$55:$F$345,3,0),IFERROR(VLOOKUP($I53,'Privacy Analyst Evaluation'!$A$46:$F$120,3,0),""))&amp;""</f>
        <v/>
      </c>
      <c r="L53" s="209" t="str">
        <f>IFERROR(VLOOKUP($I53,'Institution Evaluation'!$A$55:$F$345,4,0),IFERROR(VLOOKUP($I53,'Privacy Analyst Evaluation'!$A$46:$F$120,4,0),""))&amp;""</f>
        <v/>
      </c>
      <c r="M53" s="209" t="str">
        <f>IFERROR(VLOOKUP($I53,'Institution Evaluation'!$A$55:$F$345,6,0),IFERROR(VLOOKUP($I53,'Privacy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75" x14ac:dyDescent="0.2">
      <c r="A54" s="209">
        <f>IFERROR(IF($A53+1&gt;'(backend scoring)'!$T$335,"",$A53+1),"")</f>
        <v>30</v>
      </c>
      <c r="B54" s="209" t="str">
        <f>_xlfn.XLOOKUP($A54,'(backend scoring)'!$V$2:$V$333,'(backend scoring)'!$A$2:$A$333,"")</f>
        <v>AAAI-09</v>
      </c>
      <c r="C54" s="209" t="str">
        <f>IFERROR(VLOOKUP($B54,'Institution Evaluation'!$A$55:$F$345,2,0),IFERROR(VLOOKUP($B54,'Privacy Analyst Evaluation'!$A$46:$F$120,2,0),""))&amp;""</f>
        <v>Are audit logs available that include AT LEAST all of the following: login, logout, actions performed, and source IP address?*</v>
      </c>
      <c r="D54" s="209" t="str">
        <f>IFERROR(VLOOKUP($B54,'Institution Evaluation'!$A$55:$F$345,3,0),IFERROR(VLOOKUP($B54,'Privacy Analyst Evaluation'!$A$46:$F$120,3,0),""))&amp;""</f>
        <v/>
      </c>
      <c r="E54" s="209" t="str">
        <f>IFERROR(VLOOKUP($B54,'Institution Evaluation'!$A$55:$F$345,4,0),IFERROR(VLOOKUP($B54,'Privacy Analyst Evaluation'!$A$46:$F$120,4,0),""))&amp;""</f>
        <v/>
      </c>
      <c r="F54" s="209" t="str">
        <f>IFERROR(VLOOKUP($B54,'Institution Evaluation'!$A$55:$F$345,6,0),IFERROR(VLOOKUP($B54,'Privacy Analyst Evaluation'!$A$46:$F$120,6,0),""))&amp;""</f>
        <v/>
      </c>
      <c r="G54" s="210"/>
      <c r="H54" s="209" t="str">
        <f>IFERROR(IF($H53+1&gt;'(backend scoring)'!$Q$335,"",$H53+1),"")</f>
        <v/>
      </c>
      <c r="I54" s="209" t="str">
        <f>_xlfn.XLOOKUP($H54,'(backend scoring)'!$S$2:$S$333,'(backend scoring)'!$A$2:$A$333,"")</f>
        <v/>
      </c>
      <c r="J54" s="209" t="str">
        <f>IFERROR(VLOOKUP($I54,'Institution Evaluation'!$A$55:$F$345,2,0),IFERROR(VLOOKUP($I54,'Privacy Analyst Evaluation'!$A$46:$F$120,2,0),""))</f>
        <v/>
      </c>
      <c r="K54" s="209" t="str">
        <f>IFERROR(VLOOKUP($I54,'Institution Evaluation'!$A$55:$F$345,3,0),IFERROR(VLOOKUP($I54,'Privacy Analyst Evaluation'!$A$46:$F$120,3,0),""))&amp;""</f>
        <v/>
      </c>
      <c r="L54" s="209" t="str">
        <f>IFERROR(VLOOKUP($I54,'Institution Evaluation'!$A$55:$F$345,4,0),IFERROR(VLOOKUP($I54,'Privacy Analyst Evaluation'!$A$46:$F$120,4,0),""))&amp;""</f>
        <v/>
      </c>
      <c r="M54" s="209" t="str">
        <f>IFERROR(VLOOKUP($I54,'Institution Evaluation'!$A$55:$F$345,6,0),IFERROR(VLOOKUP($I54,'Privacy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90" x14ac:dyDescent="0.2">
      <c r="A55" s="209">
        <f>IFERROR(IF($A54+1&gt;'(backend scoring)'!$T$335,"",$A54+1),"")</f>
        <v>31</v>
      </c>
      <c r="B55" s="209" t="str">
        <f>_xlfn.XLOOKUP($A55,'(backend scoring)'!$V$2:$V$333,'(backend scoring)'!$A$2:$A$333,"")</f>
        <v>AAAI-11</v>
      </c>
      <c r="C55" s="209" t="str">
        <f>IFERROR(VLOOKUP($B55,'Institution Evaluation'!$A$55:$F$345,2,0),IFERROR(VLOOKUP($B55,'Privacy Analyst Evaluation'!$A$46:$F$120,2,0),""))&amp;""</f>
        <v>Can you provide the institution documentation regarding the retention period for those logs, how logs are protected, and whether they are accessible to the customer (and if so, how)?*</v>
      </c>
      <c r="D55" s="209" t="str">
        <f>IFERROR(VLOOKUP($B55,'Institution Evaluation'!$A$55:$F$345,3,0),IFERROR(VLOOKUP($B55,'Privacy Analyst Evaluation'!$A$46:$F$120,3,0),""))&amp;""</f>
        <v/>
      </c>
      <c r="E55" s="209" t="str">
        <f>IFERROR(VLOOKUP($B55,'Institution Evaluation'!$A$55:$F$345,4,0),IFERROR(VLOOKUP($B55,'Privacy Analyst Evaluation'!$A$46:$F$120,4,0),""))&amp;""</f>
        <v/>
      </c>
      <c r="F55" s="209" t="str">
        <f>IFERROR(VLOOKUP($B55,'Institution Evaluation'!$A$55:$F$345,6,0),IFERROR(VLOOKUP($B55,'Privacy Analyst Evaluation'!$A$46:$F$120,6,0),""))&amp;""</f>
        <v/>
      </c>
      <c r="G55" s="210"/>
      <c r="H55" s="209" t="str">
        <f>IFERROR(IF($H54+1&gt;'(backend scoring)'!$Q$335,"",$H54+1),"")</f>
        <v/>
      </c>
      <c r="I55" s="209" t="str">
        <f>_xlfn.XLOOKUP($H55,'(backend scoring)'!$S$2:$S$333,'(backend scoring)'!$A$2:$A$333,"")</f>
        <v/>
      </c>
      <c r="J55" s="209" t="str">
        <f>IFERROR(VLOOKUP($I55,'Institution Evaluation'!$A$55:$F$345,2,0),IFERROR(VLOOKUP($I55,'Privacy Analyst Evaluation'!$A$46:$F$120,2,0),""))</f>
        <v/>
      </c>
      <c r="K55" s="209" t="str">
        <f>IFERROR(VLOOKUP($I55,'Institution Evaluation'!$A$55:$F$345,3,0),IFERROR(VLOOKUP($I55,'Privacy Analyst Evaluation'!$A$46:$F$120,3,0),""))&amp;""</f>
        <v/>
      </c>
      <c r="L55" s="209" t="str">
        <f>IFERROR(VLOOKUP($I55,'Institution Evaluation'!$A$55:$F$345,4,0),IFERROR(VLOOKUP($I55,'Privacy Analyst Evaluation'!$A$46:$F$120,4,0),""))&amp;""</f>
        <v/>
      </c>
      <c r="M55" s="209" t="str">
        <f>IFERROR(VLOOKUP($I55,'Institution Evaluation'!$A$55:$F$345,6,0),IFERROR(VLOOKUP($I55,'Privacy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75" x14ac:dyDescent="0.2">
      <c r="A56" s="209">
        <f>IFERROR(IF($A55+1&gt;'(backend scoring)'!$T$335,"",$A55+1),"")</f>
        <v>32</v>
      </c>
      <c r="B56" s="209" t="str">
        <f>_xlfn.XLOOKUP($A56,'(backend scoring)'!$V$2:$V$333,'(backend scoring)'!$A$2:$A$333,"")</f>
        <v>CHNG-01</v>
      </c>
      <c r="C56" s="209" t="str">
        <f>IFERROR(VLOOKUP($B56,'Institution Evaluation'!$A$55:$F$345,2,0),IFERROR(VLOOKUP($B56,'Privacy Analyst Evaluation'!$A$46:$F$120,2,0),""))&amp;""</f>
        <v>Will the institution be notified of major changes to your environment that could impact the institution's security posture?*</v>
      </c>
      <c r="D56" s="209" t="str">
        <f>IFERROR(VLOOKUP($B56,'Institution Evaluation'!$A$55:$F$345,3,0),IFERROR(VLOOKUP($B56,'Privacy Analyst Evaluation'!$A$46:$F$120,3,0),""))&amp;""</f>
        <v/>
      </c>
      <c r="E56" s="209" t="str">
        <f>IFERROR(VLOOKUP($B56,'Institution Evaluation'!$A$55:$F$345,4,0),IFERROR(VLOOKUP($B56,'Privacy Analyst Evaluation'!$A$46:$F$120,4,0),""))&amp;""</f>
        <v/>
      </c>
      <c r="F56" s="209" t="str">
        <f>IFERROR(VLOOKUP($B56,'Institution Evaluation'!$A$55:$F$345,6,0),IFERROR(VLOOKUP($B56,'Privacy Analyst Evaluation'!$A$46:$F$120,6,0),""))&amp;""</f>
        <v/>
      </c>
      <c r="G56" s="210"/>
      <c r="H56" s="209" t="str">
        <f>IFERROR(IF($H55+1&gt;'(backend scoring)'!$Q$335,"",$H55+1),"")</f>
        <v/>
      </c>
      <c r="I56" s="209" t="str">
        <f>_xlfn.XLOOKUP($H56,'(backend scoring)'!$S$2:$S$333,'(backend scoring)'!$A$2:$A$333,"")</f>
        <v/>
      </c>
      <c r="J56" s="209" t="str">
        <f>IFERROR(VLOOKUP($I56,'Institution Evaluation'!$A$55:$F$345,2,0),IFERROR(VLOOKUP($I56,'Privacy Analyst Evaluation'!$A$46:$F$120,2,0),""))</f>
        <v/>
      </c>
      <c r="K56" s="209" t="str">
        <f>IFERROR(VLOOKUP($I56,'Institution Evaluation'!$A$55:$F$345,3,0),IFERROR(VLOOKUP($I56,'Privacy Analyst Evaluation'!$A$46:$F$120,3,0),""))&amp;""</f>
        <v/>
      </c>
      <c r="L56" s="209" t="str">
        <f>IFERROR(VLOOKUP($I56,'Institution Evaluation'!$A$55:$F$345,4,0),IFERROR(VLOOKUP($I56,'Privacy Analyst Evaluation'!$A$46:$F$120,4,0),""))&amp;""</f>
        <v/>
      </c>
      <c r="M56" s="209" t="str">
        <f>IFERROR(VLOOKUP($I56,'Institution Evaluation'!$A$55:$F$345,6,0),IFERROR(VLOOKUP($I56,'Privacy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45" x14ac:dyDescent="0.2">
      <c r="A57" s="209">
        <f>IFERROR(IF($A56+1&gt;'(backend scoring)'!$T$335,"",$A56+1),"")</f>
        <v>33</v>
      </c>
      <c r="B57" s="209" t="str">
        <f>_xlfn.XLOOKUP($A57,'(backend scoring)'!$V$2:$V$333,'(backend scoring)'!$A$2:$A$333,"")</f>
        <v>CHNG-02</v>
      </c>
      <c r="C57" s="209" t="str">
        <f>IFERROR(VLOOKUP($B57,'Institution Evaluation'!$A$55:$F$345,2,0),IFERROR(VLOOKUP($B57,'Privacy Analyst Evaluation'!$A$46:$F$120,2,0),""))&amp;""</f>
        <v>Does the system support client customizations from one release to another?*</v>
      </c>
      <c r="D57" s="209" t="str">
        <f>IFERROR(VLOOKUP($B57,'Institution Evaluation'!$A$55:$F$345,3,0),IFERROR(VLOOKUP($B57,'Privacy Analyst Evaluation'!$A$46:$F$120,3,0),""))&amp;""</f>
        <v/>
      </c>
      <c r="E57" s="209" t="str">
        <f>IFERROR(VLOOKUP($B57,'Institution Evaluation'!$A$55:$F$345,4,0),IFERROR(VLOOKUP($B57,'Privacy Analyst Evaluation'!$A$46:$F$120,4,0),""))&amp;""</f>
        <v/>
      </c>
      <c r="F57" s="209" t="str">
        <f>IFERROR(VLOOKUP($B57,'Institution Evaluation'!$A$55:$F$345,6,0),IFERROR(VLOOKUP($B57,'Privacy Analyst Evaluation'!$A$46:$F$120,6,0),""))&amp;""</f>
        <v/>
      </c>
      <c r="G57" s="210"/>
      <c r="H57" s="209" t="str">
        <f>IFERROR(IF($H56+1&gt;'(backend scoring)'!$Q$335,"",$H56+1),"")</f>
        <v/>
      </c>
      <c r="I57" s="209" t="str">
        <f>_xlfn.XLOOKUP($H57,'(backend scoring)'!$S$2:$S$333,'(backend scoring)'!$A$2:$A$333,"")</f>
        <v/>
      </c>
      <c r="J57" s="209" t="str">
        <f>IFERROR(VLOOKUP($I57,'Institution Evaluation'!$A$55:$F$345,2,0),IFERROR(VLOOKUP($I57,'Privacy Analyst Evaluation'!$A$46:$F$120,2,0),""))</f>
        <v/>
      </c>
      <c r="K57" s="209" t="str">
        <f>IFERROR(VLOOKUP($I57,'Institution Evaluation'!$A$55:$F$345,3,0),IFERROR(VLOOKUP($I57,'Privacy Analyst Evaluation'!$A$46:$F$120,3,0),""))&amp;""</f>
        <v/>
      </c>
      <c r="L57" s="209" t="str">
        <f>IFERROR(VLOOKUP($I57,'Institution Evaluation'!$A$55:$F$345,4,0),IFERROR(VLOOKUP($I57,'Privacy Analyst Evaluation'!$A$46:$F$120,4,0),""))&amp;""</f>
        <v/>
      </c>
      <c r="M57" s="209" t="str">
        <f>IFERROR(VLOOKUP($I57,'Institution Evaluation'!$A$55:$F$345,6,0),IFERROR(VLOOKUP($I57,'Privacy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60" x14ac:dyDescent="0.2">
      <c r="A58" s="209">
        <f>IFERROR(IF($A57+1&gt;'(backend scoring)'!$T$335,"",$A57+1),"")</f>
        <v>34</v>
      </c>
      <c r="B58" s="209" t="str">
        <f>_xlfn.XLOOKUP($A58,'(backend scoring)'!$V$2:$V$333,'(backend scoring)'!$A$2:$A$333,"")</f>
        <v>CHNG-03</v>
      </c>
      <c r="C58" s="209" t="str">
        <f>IFERROR(VLOOKUP($B58,'Institution Evaluation'!$A$55:$F$345,2,0),IFERROR(VLOOKUP($B58,'Privacy Analyst Evaluation'!$A$46:$F$120,2,0),""))&amp;""</f>
        <v>Do you have an implemented system configuration management process (e.g., secure "gold" images, etc.)?*</v>
      </c>
      <c r="D58" s="209" t="str">
        <f>IFERROR(VLOOKUP($B58,'Institution Evaluation'!$A$55:$F$345,3,0),IFERROR(VLOOKUP($B58,'Privacy Analyst Evaluation'!$A$46:$F$120,3,0),""))&amp;""</f>
        <v/>
      </c>
      <c r="E58" s="209" t="str">
        <f>IFERROR(VLOOKUP($B58,'Institution Evaluation'!$A$55:$F$345,4,0),IFERROR(VLOOKUP($B58,'Privacy Analyst Evaluation'!$A$46:$F$120,4,0),""))&amp;""</f>
        <v/>
      </c>
      <c r="F58" s="209" t="str">
        <f>IFERROR(VLOOKUP($B58,'Institution Evaluation'!$A$55:$F$345,6,0),IFERROR(VLOOKUP($B58,'Privacy Analyst Evaluation'!$A$46:$F$120,6,0),""))&amp;""</f>
        <v/>
      </c>
      <c r="G58" s="210"/>
      <c r="H58" s="209" t="str">
        <f>IFERROR(IF($H57+1&gt;'(backend scoring)'!$Q$335,"",$H57+1),"")</f>
        <v/>
      </c>
      <c r="I58" s="209" t="str">
        <f>_xlfn.XLOOKUP($H58,'(backend scoring)'!$S$2:$S$333,'(backend scoring)'!$A$2:$A$333,"")</f>
        <v/>
      </c>
      <c r="J58" s="209" t="str">
        <f>IFERROR(VLOOKUP($I58,'Institution Evaluation'!$A$55:$F$345,2,0),IFERROR(VLOOKUP($I58,'Privacy Analyst Evaluation'!$A$46:$F$120,2,0),""))</f>
        <v/>
      </c>
      <c r="K58" s="209" t="str">
        <f>IFERROR(VLOOKUP($I58,'Institution Evaluation'!$A$55:$F$345,3,0),IFERROR(VLOOKUP($I58,'Privacy Analyst Evaluation'!$A$46:$F$120,3,0),""))&amp;""</f>
        <v/>
      </c>
      <c r="L58" s="209" t="str">
        <f>IFERROR(VLOOKUP($I58,'Institution Evaluation'!$A$55:$F$345,4,0),IFERROR(VLOOKUP($I58,'Privacy Analyst Evaluation'!$A$46:$F$120,4,0),""))&amp;""</f>
        <v/>
      </c>
      <c r="M58" s="209" t="str">
        <f>IFERROR(VLOOKUP($I58,'Institution Evaluation'!$A$55:$F$345,6,0),IFERROR(VLOOKUP($I58,'Privacy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105" x14ac:dyDescent="0.2">
      <c r="A59" s="209">
        <f>IFERROR(IF($A58+1&gt;'(backend scoring)'!$T$335,"",$A58+1),"")</f>
        <v>35</v>
      </c>
      <c r="B59" s="209" t="str">
        <f>_xlfn.XLOOKUP($A59,'(backend scoring)'!$V$2:$V$333,'(backend scoring)'!$A$2:$A$333,"")</f>
        <v>DATA-01</v>
      </c>
      <c r="C59" s="209" t="str">
        <f>IFERROR(VLOOKUP($B59,'Institution Evaluation'!$A$55:$F$345,2,0),IFERROR(VLOOKUP($B59,'Privacy Analyst Evaluation'!$A$46:$F$120,2,0),""))&amp;""</f>
        <v>Will the institution's data be stored on any devices (database servers, file servers, SAN, NAS, etc.) configured with non-RFC 1918/4193 (i.e., publicly routable) IP addresses?*</v>
      </c>
      <c r="D59" s="209" t="str">
        <f>IFERROR(VLOOKUP($B59,'Institution Evaluation'!$A$55:$F$345,3,0),IFERROR(VLOOKUP($B59,'Privacy Analyst Evaluation'!$A$46:$F$120,3,0),""))&amp;""</f>
        <v/>
      </c>
      <c r="E59" s="209" t="str">
        <f>IFERROR(VLOOKUP($B59,'Institution Evaluation'!$A$55:$F$345,4,0),IFERROR(VLOOKUP($B59,'Privacy Analyst Evaluation'!$A$46:$F$120,4,0),""))&amp;""</f>
        <v/>
      </c>
      <c r="F59" s="209" t="str">
        <f>IFERROR(VLOOKUP($B59,'Institution Evaluation'!$A$55:$F$345,6,0),IFERROR(VLOOKUP($B59,'Privacy Analyst Evaluation'!$A$46:$F$120,6,0),""))&amp;""</f>
        <v/>
      </c>
      <c r="G59" s="210"/>
      <c r="H59" s="209" t="str">
        <f>IFERROR(IF($H58+1&gt;'(backend scoring)'!$Q$335,"",$H58+1),"")</f>
        <v/>
      </c>
      <c r="I59" s="209" t="str">
        <f>_xlfn.XLOOKUP($H59,'(backend scoring)'!$S$2:$S$333,'(backend scoring)'!$A$2:$A$333,"")</f>
        <v/>
      </c>
      <c r="J59" s="209" t="str">
        <f>IFERROR(VLOOKUP($I59,'Institution Evaluation'!$A$55:$F$345,2,0),IFERROR(VLOOKUP($I59,'Privacy Analyst Evaluation'!$A$46:$F$120,2,0),""))</f>
        <v/>
      </c>
      <c r="K59" s="209" t="str">
        <f>IFERROR(VLOOKUP($I59,'Institution Evaluation'!$A$55:$F$345,3,0),IFERROR(VLOOKUP($I59,'Privacy Analyst Evaluation'!$A$46:$F$120,3,0),""))&amp;""</f>
        <v/>
      </c>
      <c r="L59" s="209" t="str">
        <f>IFERROR(VLOOKUP($I59,'Institution Evaluation'!$A$55:$F$345,4,0),IFERROR(VLOOKUP($I59,'Privacy Analyst Evaluation'!$A$46:$F$120,4,0),""))&amp;""</f>
        <v/>
      </c>
      <c r="M59" s="209" t="str">
        <f>IFERROR(VLOOKUP($I59,'Institution Evaluation'!$A$55:$F$345,6,0),IFERROR(VLOOKUP($I59,'Privacy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60" x14ac:dyDescent="0.2">
      <c r="A60" s="209">
        <f>IFERROR(IF($A59+1&gt;'(backend scoring)'!$T$335,"",$A59+1),"")</f>
        <v>36</v>
      </c>
      <c r="B60" s="209" t="str">
        <f>_xlfn.XLOOKUP($A60,'(backend scoring)'!$V$2:$V$333,'(backend scoring)'!$A$2:$A$333,"")</f>
        <v>DATA-02</v>
      </c>
      <c r="C60" s="209" t="str">
        <f>IFERROR(VLOOKUP($B60,'Institution Evaluation'!$A$55:$F$345,2,0),IFERROR(VLOOKUP($B60,'Privacy Analyst Evaluation'!$A$46:$F$120,2,0),""))&amp;""</f>
        <v>Is the transport of sensitive data encrypted using security protocols/algorithms (e.g., system-to-client)?*</v>
      </c>
      <c r="D60" s="209" t="str">
        <f>IFERROR(VLOOKUP($B60,'Institution Evaluation'!$A$55:$F$345,3,0),IFERROR(VLOOKUP($B60,'Privacy Analyst Evaluation'!$A$46:$F$120,3,0),""))&amp;""</f>
        <v/>
      </c>
      <c r="E60" s="209" t="str">
        <f>IFERROR(VLOOKUP($B60,'Institution Evaluation'!$A$55:$F$345,4,0),IFERROR(VLOOKUP($B60,'Privacy Analyst Evaluation'!$A$46:$F$120,4,0),""))&amp;""</f>
        <v/>
      </c>
      <c r="F60" s="209" t="str">
        <f>IFERROR(VLOOKUP($B60,'Institution Evaluation'!$A$55:$F$345,6,0),IFERROR(VLOOKUP($B60,'Privacy Analyst Evaluation'!$A$46:$F$120,6,0),""))&amp;""</f>
        <v/>
      </c>
      <c r="G60" s="210"/>
      <c r="H60" s="209" t="str">
        <f>IFERROR(IF($H59+1&gt;'(backend scoring)'!$Q$335,"",$H59+1),"")</f>
        <v/>
      </c>
      <c r="I60" s="209" t="str">
        <f>_xlfn.XLOOKUP($H60,'(backend scoring)'!$S$2:$S$333,'(backend scoring)'!$A$2:$A$333,"")</f>
        <v/>
      </c>
      <c r="J60" s="209" t="str">
        <f>IFERROR(VLOOKUP($I60,'Institution Evaluation'!$A$55:$F$345,2,0),IFERROR(VLOOKUP($I60,'Privacy Analyst Evaluation'!$A$46:$F$120,2,0),""))</f>
        <v/>
      </c>
      <c r="K60" s="209" t="str">
        <f>IFERROR(VLOOKUP($I60,'Institution Evaluation'!$A$55:$F$345,3,0),IFERROR(VLOOKUP($I60,'Privacy Analyst Evaluation'!$A$46:$F$120,3,0),""))&amp;""</f>
        <v/>
      </c>
      <c r="L60" s="209" t="str">
        <f>IFERROR(VLOOKUP($I60,'Institution Evaluation'!$A$55:$F$345,4,0),IFERROR(VLOOKUP($I60,'Privacy Analyst Evaluation'!$A$46:$F$120,4,0),""))&amp;""</f>
        <v/>
      </c>
      <c r="M60" s="209" t="str">
        <f>IFERROR(VLOOKUP($I60,'Institution Evaluation'!$A$55:$F$345,6,0),IFERROR(VLOOKUP($I60,'Privacy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75" x14ac:dyDescent="0.2">
      <c r="A61" s="209">
        <f>IFERROR(IF($A60+1&gt;'(backend scoring)'!$T$335,"",$A60+1),"")</f>
        <v>37</v>
      </c>
      <c r="B61" s="209" t="str">
        <f>_xlfn.XLOOKUP($A61,'(backend scoring)'!$V$2:$V$333,'(backend scoring)'!$A$2:$A$333,"")</f>
        <v>DATA-03</v>
      </c>
      <c r="C61" s="209" t="str">
        <f>IFERROR(VLOOKUP($B61,'Institution Evaluation'!$A$55:$F$345,2,0),IFERROR(VLOOKUP($B61,'Privacy Analyst Evaluation'!$A$46:$F$120,2,0),""))&amp;""</f>
        <v>Is the storage of sensitive data encrypted using security protocols/algorithms (e.g., disk encryption, at-rest, files, and within a running database)?*</v>
      </c>
      <c r="D61" s="209" t="str">
        <f>IFERROR(VLOOKUP($B61,'Institution Evaluation'!$A$55:$F$345,3,0),IFERROR(VLOOKUP($B61,'Privacy Analyst Evaluation'!$A$46:$F$120,3,0),""))&amp;""</f>
        <v/>
      </c>
      <c r="E61" s="209" t="str">
        <f>IFERROR(VLOOKUP($B61,'Institution Evaluation'!$A$55:$F$345,4,0),IFERROR(VLOOKUP($B61,'Privacy Analyst Evaluation'!$A$46:$F$120,4,0),""))&amp;""</f>
        <v/>
      </c>
      <c r="F61" s="209" t="str">
        <f>IFERROR(VLOOKUP($B61,'Institution Evaluation'!$A$55:$F$345,6,0),IFERROR(VLOOKUP($B61,'Privacy Analyst Evaluation'!$A$46:$F$120,6,0),""))&amp;""</f>
        <v/>
      </c>
      <c r="G61" s="210"/>
      <c r="H61" s="209" t="str">
        <f>IFERROR(IF($H60+1&gt;'(backend scoring)'!$Q$335,"",$H60+1),"")</f>
        <v/>
      </c>
      <c r="I61" s="209" t="str">
        <f>_xlfn.XLOOKUP($H61,'(backend scoring)'!$S$2:$S$333,'(backend scoring)'!$A$2:$A$333,"")</f>
        <v/>
      </c>
      <c r="J61" s="209" t="str">
        <f>IFERROR(VLOOKUP($I61,'Institution Evaluation'!$A$55:$F$345,2,0),IFERROR(VLOOKUP($I61,'Privacy Analyst Evaluation'!$A$46:$F$120,2,0),""))</f>
        <v/>
      </c>
      <c r="K61" s="209" t="str">
        <f>IFERROR(VLOOKUP($I61,'Institution Evaluation'!$A$55:$F$345,3,0),IFERROR(VLOOKUP($I61,'Privacy Analyst Evaluation'!$A$46:$F$120,3,0),""))&amp;""</f>
        <v/>
      </c>
      <c r="L61" s="209" t="str">
        <f>IFERROR(VLOOKUP($I61,'Institution Evaluation'!$A$55:$F$345,4,0),IFERROR(VLOOKUP($I61,'Privacy Analyst Evaluation'!$A$46:$F$120,4,0),""))&amp;""</f>
        <v/>
      </c>
      <c r="M61" s="209" t="str">
        <f>IFERROR(VLOOKUP($I61,'Institution Evaluation'!$A$55:$F$345,6,0),IFERROR(VLOOKUP($I61,'Privacy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75" x14ac:dyDescent="0.2">
      <c r="A62" s="209">
        <f>IFERROR(IF($A61+1&gt;'(backend scoring)'!$T$335,"",$A61+1),"")</f>
        <v>38</v>
      </c>
      <c r="B62" s="209" t="str">
        <f>_xlfn.XLOOKUP($A62,'(backend scoring)'!$V$2:$V$333,'(backend scoring)'!$A$2:$A$333,"")</f>
        <v>DATA-04</v>
      </c>
      <c r="C62" s="209" t="str">
        <f>IFERROR(VLOOKUP($B62,'Institution Evaluation'!$A$55:$F$345,2,0),IFERROR(VLOOKUP($B62,'Privacy Analyst Evaluation'!$A$46:$F$120,2,0),""))&amp;""</f>
        <v>Do all cryptographic modules in use in your solution conform to the Federal Information Processing Standards (FIPS PUB 140-2 or 140-3)?*</v>
      </c>
      <c r="D62" s="209" t="str">
        <f>IFERROR(VLOOKUP($B62,'Institution Evaluation'!$A$55:$F$345,3,0),IFERROR(VLOOKUP($B62,'Privacy Analyst Evaluation'!$A$46:$F$120,3,0),""))&amp;""</f>
        <v/>
      </c>
      <c r="E62" s="209" t="str">
        <f>IFERROR(VLOOKUP($B62,'Institution Evaluation'!$A$55:$F$345,4,0),IFERROR(VLOOKUP($B62,'Privacy Analyst Evaluation'!$A$46:$F$120,4,0),""))&amp;""</f>
        <v/>
      </c>
      <c r="F62" s="209" t="str">
        <f>IFERROR(VLOOKUP($B62,'Institution Evaluation'!$A$55:$F$345,6,0),IFERROR(VLOOKUP($B62,'Privacy Analyst Evaluation'!$A$46:$F$120,6,0),""))&amp;""</f>
        <v/>
      </c>
      <c r="G62" s="210"/>
      <c r="H62" s="209" t="str">
        <f>IFERROR(IF($H61+1&gt;'(backend scoring)'!$Q$335,"",$H61+1),"")</f>
        <v/>
      </c>
      <c r="I62" s="209" t="str">
        <f>_xlfn.XLOOKUP($H62,'(backend scoring)'!$S$2:$S$333,'(backend scoring)'!$A$2:$A$333,"")</f>
        <v/>
      </c>
      <c r="J62" s="209" t="str">
        <f>IFERROR(VLOOKUP($I62,'Institution Evaluation'!$A$55:$F$345,2,0),IFERROR(VLOOKUP($I62,'Privacy Analyst Evaluation'!$A$46:$F$120,2,0),""))</f>
        <v/>
      </c>
      <c r="K62" s="209" t="str">
        <f>IFERROR(VLOOKUP($I62,'Institution Evaluation'!$A$55:$F$345,3,0),IFERROR(VLOOKUP($I62,'Privacy Analyst Evaluation'!$A$46:$F$120,3,0),""))&amp;""</f>
        <v/>
      </c>
      <c r="L62" s="209" t="str">
        <f>IFERROR(VLOOKUP($I62,'Institution Evaluation'!$A$55:$F$345,4,0),IFERROR(VLOOKUP($I62,'Privacy Analyst Evaluation'!$A$46:$F$120,4,0),""))&amp;""</f>
        <v/>
      </c>
      <c r="M62" s="209" t="str">
        <f>IFERROR(VLOOKUP($I62,'Institution Evaluation'!$A$55:$F$345,6,0),IFERROR(VLOOKUP($I62,'Privacy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60" x14ac:dyDescent="0.2">
      <c r="A63" s="209">
        <f>IFERROR(IF($A62+1&gt;'(backend scoring)'!$T$335,"",$A62+1),"")</f>
        <v>39</v>
      </c>
      <c r="B63" s="209" t="str">
        <f>_xlfn.XLOOKUP($A63,'(backend scoring)'!$V$2:$V$333,'(backend scoring)'!$A$2:$A$333,"")</f>
        <v>DATA-05</v>
      </c>
      <c r="C63" s="209" t="str">
        <f>IFERROR(VLOOKUP($B63,'Institution Evaluation'!$A$55:$F$345,2,0),IFERROR(VLOOKUP($B63,'Privacy Analyst Evaluation'!$A$46:$F$120,2,0),""))&amp;""</f>
        <v>Will the institution's data be available within the system for a period of time at the completion of this contract?*</v>
      </c>
      <c r="D63" s="209" t="str">
        <f>IFERROR(VLOOKUP($B63,'Institution Evaluation'!$A$55:$F$345,3,0),IFERROR(VLOOKUP($B63,'Privacy Analyst Evaluation'!$A$46:$F$120,3,0),""))&amp;""</f>
        <v/>
      </c>
      <c r="E63" s="209" t="str">
        <f>IFERROR(VLOOKUP($B63,'Institution Evaluation'!$A$55:$F$345,4,0),IFERROR(VLOOKUP($B63,'Privacy Analyst Evaluation'!$A$46:$F$120,4,0),""))&amp;""</f>
        <v/>
      </c>
      <c r="F63" s="209" t="str">
        <f>IFERROR(VLOOKUP($B63,'Institution Evaluation'!$A$55:$F$345,6,0),IFERROR(VLOOKUP($B63,'Privacy Analyst Evaluation'!$A$46:$F$120,6,0),""))&amp;""</f>
        <v/>
      </c>
      <c r="G63" s="210"/>
      <c r="H63" s="209" t="str">
        <f>IFERROR(IF($H62+1&gt;'(backend scoring)'!$Q$335,"",$H62+1),"")</f>
        <v/>
      </c>
      <c r="I63" s="209" t="str">
        <f>_xlfn.XLOOKUP($H63,'(backend scoring)'!$S$2:$S$333,'(backend scoring)'!$A$2:$A$333,"")</f>
        <v/>
      </c>
      <c r="J63" s="209" t="str">
        <f>IFERROR(VLOOKUP($I63,'Institution Evaluation'!$A$55:$F$345,2,0),IFERROR(VLOOKUP($I63,'Privacy Analyst Evaluation'!$A$46:$F$120,2,0),""))</f>
        <v/>
      </c>
      <c r="K63" s="209" t="str">
        <f>IFERROR(VLOOKUP($I63,'Institution Evaluation'!$A$55:$F$345,3,0),IFERROR(VLOOKUP($I63,'Privacy Analyst Evaluation'!$A$46:$F$120,3,0),""))&amp;""</f>
        <v/>
      </c>
      <c r="L63" s="209" t="str">
        <f>IFERROR(VLOOKUP($I63,'Institution Evaluation'!$A$55:$F$345,4,0),IFERROR(VLOOKUP($I63,'Privacy Analyst Evaluation'!$A$46:$F$120,4,0),""))&amp;""</f>
        <v/>
      </c>
      <c r="M63" s="209" t="str">
        <f>IFERROR(VLOOKUP($I63,'Institution Evaluation'!$A$55:$F$345,6,0),IFERROR(VLOOKUP($I63,'Privacy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75" x14ac:dyDescent="0.2">
      <c r="A64" s="209">
        <f>IFERROR(IF($A63+1&gt;'(backend scoring)'!$T$335,"",$A63+1),"")</f>
        <v>40</v>
      </c>
      <c r="B64" s="209" t="str">
        <f>_xlfn.XLOOKUP($A64,'(backend scoring)'!$V$2:$V$333,'(backend scoring)'!$A$2:$A$333,"")</f>
        <v>DATA-06</v>
      </c>
      <c r="C64" s="209" t="str">
        <f>IFERROR(VLOOKUP($B64,'Institution Evaluation'!$A$55:$F$345,2,0),IFERROR(VLOOKUP($B64,'Privacy Analyst Evaluation'!$A$46:$F$120,2,0),""))&amp;""</f>
        <v>Are ownership rights to all data, inputs, outputs, and metadata retained even through a provider acquisition or bankruptcy event?*</v>
      </c>
      <c r="D64" s="209" t="str">
        <f>IFERROR(VLOOKUP($B64,'Institution Evaluation'!$A$55:$F$345,3,0),IFERROR(VLOOKUP($B64,'Privacy Analyst Evaluation'!$A$46:$F$120,3,0),""))&amp;""</f>
        <v/>
      </c>
      <c r="E64" s="209" t="str">
        <f>IFERROR(VLOOKUP($B64,'Institution Evaluation'!$A$55:$F$345,4,0),IFERROR(VLOOKUP($B64,'Privacy Analyst Evaluation'!$A$46:$F$120,4,0),""))&amp;""</f>
        <v/>
      </c>
      <c r="F64" s="209" t="str">
        <f>IFERROR(VLOOKUP($B64,'Institution Evaluation'!$A$55:$F$345,6,0),IFERROR(VLOOKUP($B64,'Privacy Analyst Evaluation'!$A$46:$F$120,6,0),""))&amp;""</f>
        <v/>
      </c>
      <c r="G64" s="210"/>
      <c r="H64" s="209" t="str">
        <f>IFERROR(IF($H63+1&gt;'(backend scoring)'!$Q$335,"",$H63+1),"")</f>
        <v/>
      </c>
      <c r="I64" s="209" t="str">
        <f>_xlfn.XLOOKUP($H64,'(backend scoring)'!$S$2:$S$333,'(backend scoring)'!$A$2:$A$333,"")</f>
        <v/>
      </c>
      <c r="J64" s="209" t="str">
        <f>IFERROR(VLOOKUP($I64,'Institution Evaluation'!$A$55:$F$345,2,0),IFERROR(VLOOKUP($I64,'Privacy Analyst Evaluation'!$A$46:$F$120,2,0),""))</f>
        <v/>
      </c>
      <c r="K64" s="209" t="str">
        <f>IFERROR(VLOOKUP($I64,'Institution Evaluation'!$A$55:$F$345,3,0),IFERROR(VLOOKUP($I64,'Privacy Analyst Evaluation'!$A$46:$F$120,3,0),""))&amp;""</f>
        <v/>
      </c>
      <c r="L64" s="209" t="str">
        <f>IFERROR(VLOOKUP($I64,'Institution Evaluation'!$A$55:$F$345,4,0),IFERROR(VLOOKUP($I64,'Privacy Analyst Evaluation'!$A$46:$F$120,4,0),""))&amp;""</f>
        <v/>
      </c>
      <c r="M64" s="209" t="str">
        <f>IFERROR(VLOOKUP($I64,'Institution Evaluation'!$A$55:$F$345,6,0),IFERROR(VLOOKUP($I64,'Privacy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75" x14ac:dyDescent="0.2">
      <c r="A65" s="209">
        <f>IFERROR(IF($A64+1&gt;'(backend scoring)'!$T$335,"",$A64+1),"")</f>
        <v>41</v>
      </c>
      <c r="B65" s="209" t="str">
        <f>_xlfn.XLOOKUP($A65,'(backend scoring)'!$V$2:$V$333,'(backend scoring)'!$A$2:$A$333,"")</f>
        <v>DATA-07</v>
      </c>
      <c r="C65" s="209" t="str">
        <f>IFERROR(VLOOKUP($B65,'Institution Evaluation'!$A$55:$F$345,2,0),IFERROR(VLOOKUP($B65,'Privacy Analyst Evaluation'!$A$46:$F$120,2,0),""))&amp;""</f>
        <v>Do backups containing the institution's data ever leave the institution's data zone either physically or via network routing?*</v>
      </c>
      <c r="D65" s="209" t="str">
        <f>IFERROR(VLOOKUP($B65,'Institution Evaluation'!$A$55:$F$345,3,0),IFERROR(VLOOKUP($B65,'Privacy Analyst Evaluation'!$A$46:$F$120,3,0),""))&amp;""</f>
        <v/>
      </c>
      <c r="E65" s="209" t="str">
        <f>IFERROR(VLOOKUP($B65,'Institution Evaluation'!$A$55:$F$345,4,0),IFERROR(VLOOKUP($B65,'Privacy Analyst Evaluation'!$A$46:$F$120,4,0),""))&amp;""</f>
        <v/>
      </c>
      <c r="F65" s="209" t="str">
        <f>IFERROR(VLOOKUP($B65,'Institution Evaluation'!$A$55:$F$345,6,0),IFERROR(VLOOKUP($B65,'Privacy Analyst Evaluation'!$A$46:$F$120,6,0),""))&amp;""</f>
        <v/>
      </c>
      <c r="G65" s="210"/>
      <c r="H65" s="209" t="str">
        <f>IFERROR(IF($H64+1&gt;'(backend scoring)'!$Q$335,"",$H64+1),"")</f>
        <v/>
      </c>
      <c r="I65" s="209" t="str">
        <f>_xlfn.XLOOKUP($H65,'(backend scoring)'!$S$2:$S$333,'(backend scoring)'!$A$2:$A$333,"")</f>
        <v/>
      </c>
      <c r="J65" s="209" t="str">
        <f>IFERROR(VLOOKUP($I65,'Institution Evaluation'!$A$55:$F$345,2,0),IFERROR(VLOOKUP($I65,'Privacy Analyst Evaluation'!$A$46:$F$120,2,0),""))</f>
        <v/>
      </c>
      <c r="K65" s="209" t="str">
        <f>IFERROR(VLOOKUP($I65,'Institution Evaluation'!$A$55:$F$345,3,0),IFERROR(VLOOKUP($I65,'Privacy Analyst Evaluation'!$A$46:$F$120,3,0),""))&amp;""</f>
        <v/>
      </c>
      <c r="L65" s="209" t="str">
        <f>IFERROR(VLOOKUP($I65,'Institution Evaluation'!$A$55:$F$345,4,0),IFERROR(VLOOKUP($I65,'Privacy Analyst Evaluation'!$A$46:$F$120,4,0),""))&amp;""</f>
        <v/>
      </c>
      <c r="M65" s="209" t="str">
        <f>IFERROR(VLOOKUP($I65,'Institution Evaluation'!$A$55:$F$345,6,0),IFERROR(VLOOKUP($I65,'Privacy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75" x14ac:dyDescent="0.2">
      <c r="A66" s="209">
        <f>IFERROR(IF($A65+1&gt;'(backend scoring)'!$T$335,"",$A65+1),"")</f>
        <v>42</v>
      </c>
      <c r="B66" s="209" t="str">
        <f>_xlfn.XLOOKUP($A66,'(backend scoring)'!$V$2:$V$333,'(backend scoring)'!$A$2:$A$333,"")</f>
        <v>DATA-08</v>
      </c>
      <c r="C66" s="209" t="str">
        <f>IFERROR(VLOOKUP($B66,'Institution Evaluation'!$A$55:$F$345,2,0),IFERROR(VLOOKUP($B66,'Privacy Analyst Evaluation'!$A$46:$F$120,2,0),""))&amp;""</f>
        <v>Is media used for long-term retention of business data and archival purposes stored in a secure, environmentally protected area?*</v>
      </c>
      <c r="D66" s="209" t="str">
        <f>IFERROR(VLOOKUP($B66,'Institution Evaluation'!$A$55:$F$345,3,0),IFERROR(VLOOKUP($B66,'Privacy Analyst Evaluation'!$A$46:$F$120,3,0),""))&amp;""</f>
        <v/>
      </c>
      <c r="E66" s="209" t="str">
        <f>IFERROR(VLOOKUP($B66,'Institution Evaluation'!$A$55:$F$345,4,0),IFERROR(VLOOKUP($B66,'Privacy Analyst Evaluation'!$A$46:$F$120,4,0),""))&amp;""</f>
        <v/>
      </c>
      <c r="F66" s="209" t="str">
        <f>IFERROR(VLOOKUP($B66,'Institution Evaluation'!$A$55:$F$345,6,0),IFERROR(VLOOKUP($B66,'Privacy Analyst Evaluation'!$A$46:$F$120,6,0),""))&amp;""</f>
        <v/>
      </c>
      <c r="G66" s="210"/>
      <c r="H66" s="209" t="str">
        <f>IFERROR(IF($H65+1&gt;'(backend scoring)'!$Q$335,"",$H65+1),"")</f>
        <v/>
      </c>
      <c r="I66" s="209" t="str">
        <f>_xlfn.XLOOKUP($H66,'(backend scoring)'!$S$2:$S$333,'(backend scoring)'!$A$2:$A$333,"")</f>
        <v/>
      </c>
      <c r="J66" s="209" t="str">
        <f>IFERROR(VLOOKUP($I66,'Institution Evaluation'!$A$55:$F$345,2,0),IFERROR(VLOOKUP($I66,'Privacy Analyst Evaluation'!$A$46:$F$120,2,0),""))</f>
        <v/>
      </c>
      <c r="K66" s="209" t="str">
        <f>IFERROR(VLOOKUP($I66,'Institution Evaluation'!$A$55:$F$345,3,0),IFERROR(VLOOKUP($I66,'Privacy Analyst Evaluation'!$A$46:$F$120,3,0),""))&amp;""</f>
        <v/>
      </c>
      <c r="L66" s="209" t="str">
        <f>IFERROR(VLOOKUP($I66,'Institution Evaluation'!$A$55:$F$345,4,0),IFERROR(VLOOKUP($I66,'Privacy Analyst Evaluation'!$A$46:$F$120,4,0),""))&amp;""</f>
        <v/>
      </c>
      <c r="M66" s="209" t="str">
        <f>IFERROR(VLOOKUP($I66,'Institution Evaluation'!$A$55:$F$345,6,0),IFERROR(VLOOKUP($I66,'Privacy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x14ac:dyDescent="0.2">
      <c r="A67" s="209">
        <f>IFERROR(IF($A66+1&gt;'(backend scoring)'!$T$335,"",$A66+1),"")</f>
        <v>43</v>
      </c>
      <c r="B67" s="209" t="str">
        <f>_xlfn.XLOOKUP($A67,'(backend scoring)'!$V$2:$V$333,'(backend scoring)'!$A$2:$A$333,"")</f>
        <v>DCTR-06</v>
      </c>
      <c r="C67" s="209" t="str">
        <f>IFERROR(VLOOKUP($B67,'Institution Evaluation'!$A$55:$F$345,2,0),IFERROR(VLOOKUP($B67,'Privacy Analyst Evaluation'!$A$46:$F$120,2,0),""))&amp;""</f>
        <v>Does a physical barrier fully enclose the physical space, preventing unauthorized physical contact with any of your devices?*</v>
      </c>
      <c r="D67" s="209" t="str">
        <f>IFERROR(VLOOKUP($B67,'Institution Evaluation'!$A$55:$F$345,3,0),IFERROR(VLOOKUP($B67,'Privacy Analyst Evaluation'!$A$46:$F$120,3,0),""))&amp;""</f>
        <v/>
      </c>
      <c r="E67" s="209" t="str">
        <f>IFERROR(VLOOKUP($B67,'Institution Evaluation'!$A$55:$F$345,4,0),IFERROR(VLOOKUP($B67,'Privacy Analyst Evaluation'!$A$46:$F$120,4,0),""))&amp;""</f>
        <v/>
      </c>
      <c r="F67" s="209" t="str">
        <f>IFERROR(VLOOKUP($B67,'Institution Evaluation'!$A$55:$F$345,6,0),IFERROR(VLOOKUP($B67,'Privacy Analyst Evaluation'!$A$46:$F$120,6,0),""))&amp;""</f>
        <v/>
      </c>
      <c r="G67" s="210"/>
      <c r="H67" s="209" t="str">
        <f>IFERROR(IF($H66+1&gt;'(backend scoring)'!$Q$335,"",$H66+1),"")</f>
        <v/>
      </c>
      <c r="I67" s="209" t="str">
        <f>_xlfn.XLOOKUP($H67,'(backend scoring)'!$S$2:$S$333,'(backend scoring)'!$A$2:$A$333,"")</f>
        <v/>
      </c>
      <c r="J67" s="209" t="str">
        <f>IFERROR(VLOOKUP($I67,'Institution Evaluation'!$A$55:$F$345,2,0),IFERROR(VLOOKUP($I67,'Privacy Analyst Evaluation'!$A$46:$F$120,2,0),""))</f>
        <v/>
      </c>
      <c r="K67" s="209" t="str">
        <f>IFERROR(VLOOKUP($I67,'Institution Evaluation'!$A$55:$F$345,3,0),IFERROR(VLOOKUP($I67,'Privacy Analyst Evaluation'!$A$46:$F$120,3,0),""))&amp;""</f>
        <v/>
      </c>
      <c r="L67" s="209" t="str">
        <f>IFERROR(VLOOKUP($I67,'Institution Evaluation'!$A$55:$F$345,4,0),IFERROR(VLOOKUP($I67,'Privacy Analyst Evaluation'!$A$46:$F$120,4,0),""))&amp;""</f>
        <v/>
      </c>
      <c r="M67" s="209" t="str">
        <f>IFERROR(VLOOKUP($I67,'Institution Evaluation'!$A$55:$F$345,6,0),IFERROR(VLOOKUP($I67,'Privacy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30" x14ac:dyDescent="0.2">
      <c r="A68" s="209">
        <f>IFERROR(IF($A67+1&gt;'(backend scoring)'!$T$335,"",$A67+1),"")</f>
        <v>44</v>
      </c>
      <c r="B68" s="209" t="str">
        <f>_xlfn.XLOOKUP($A68,'(backend scoring)'!$V$2:$V$333,'(backend scoring)'!$A$2:$A$333,"")</f>
        <v>DCTR-10</v>
      </c>
      <c r="C68" s="209" t="str">
        <f>IFERROR(VLOOKUP($B68,'Institution Evaluation'!$A$55:$F$345,2,0),IFERROR(VLOOKUP($B68,'Privacy Analyst Evaluation'!$A$46:$F$120,2,0),""))&amp;""</f>
        <v>Are redundant power strategies tested?*</v>
      </c>
      <c r="D68" s="209" t="str">
        <f>IFERROR(VLOOKUP($B68,'Institution Evaluation'!$A$55:$F$345,3,0),IFERROR(VLOOKUP($B68,'Privacy Analyst Evaluation'!$A$46:$F$120,3,0),""))&amp;""</f>
        <v/>
      </c>
      <c r="E68" s="209" t="str">
        <f>IFERROR(VLOOKUP($B68,'Institution Evaluation'!$A$55:$F$345,4,0),IFERROR(VLOOKUP($B68,'Privacy Analyst Evaluation'!$A$46:$F$120,4,0),""))&amp;""</f>
        <v/>
      </c>
      <c r="F68" s="209" t="str">
        <f>IFERROR(VLOOKUP($B68,'Institution Evaluation'!$A$55:$F$345,6,0),IFERROR(VLOOKUP($B68,'Privacy Analyst Evaluation'!$A$46:$F$120,6,0),""))&amp;""</f>
        <v/>
      </c>
      <c r="G68" s="210"/>
      <c r="H68" s="209" t="str">
        <f>IFERROR(IF($H67+1&gt;'(backend scoring)'!$Q$335,"",$H67+1),"")</f>
        <v/>
      </c>
      <c r="I68" s="209" t="str">
        <f>_xlfn.XLOOKUP($H68,'(backend scoring)'!$S$2:$S$333,'(backend scoring)'!$A$2:$A$333,"")</f>
        <v/>
      </c>
      <c r="J68" s="209" t="str">
        <f>IFERROR(VLOOKUP($I68,'Institution Evaluation'!$A$55:$F$345,2,0),IFERROR(VLOOKUP($I68,'Privacy Analyst Evaluation'!$A$46:$F$120,2,0),""))</f>
        <v/>
      </c>
      <c r="K68" s="209" t="str">
        <f>IFERROR(VLOOKUP($I68,'Institution Evaluation'!$A$55:$F$345,3,0),IFERROR(VLOOKUP($I68,'Privacy Analyst Evaluation'!$A$46:$F$120,3,0),""))&amp;""</f>
        <v/>
      </c>
      <c r="L68" s="209" t="str">
        <f>IFERROR(VLOOKUP($I68,'Institution Evaluation'!$A$55:$F$345,4,0),IFERROR(VLOOKUP($I68,'Privacy Analyst Evaluation'!$A$46:$F$120,4,0),""))&amp;""</f>
        <v/>
      </c>
      <c r="M68" s="209" t="str">
        <f>IFERROR(VLOOKUP($I68,'Institution Evaluation'!$A$55:$F$345,6,0),IFERROR(VLOOKUP($I68,'Privacy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45" x14ac:dyDescent="0.2">
      <c r="A69" s="209">
        <f>IFERROR(IF($A68+1&gt;'(backend scoring)'!$T$335,"",$A68+1),"")</f>
        <v>45</v>
      </c>
      <c r="B69" s="209" t="str">
        <f>_xlfn.XLOOKUP($A69,'(backend scoring)'!$V$2:$V$333,'(backend scoring)'!$A$2:$A$333,"")</f>
        <v>FIDP-01</v>
      </c>
      <c r="C69" s="209" t="str">
        <f>IFERROR(VLOOKUP($B69,'Institution Evaluation'!$A$55:$F$345,2,0),IFERROR(VLOOKUP($B69,'Privacy Analyst Evaluation'!$A$46:$F$120,2,0),""))&amp;""</f>
        <v>Are you utilizing a stateful packet inspection (SPI) firewall?*</v>
      </c>
      <c r="D69" s="209" t="str">
        <f>IFERROR(VLOOKUP($B69,'Institution Evaluation'!$A$55:$F$345,3,0),IFERROR(VLOOKUP($B69,'Privacy Analyst Evaluation'!$A$46:$F$120,3,0),""))&amp;""</f>
        <v/>
      </c>
      <c r="E69" s="209" t="str">
        <f>IFERROR(VLOOKUP($B69,'Institution Evaluation'!$A$55:$F$345,4,0),IFERROR(VLOOKUP($B69,'Privacy Analyst Evaluation'!$A$46:$F$120,4,0),""))&amp;""</f>
        <v/>
      </c>
      <c r="F69" s="209" t="str">
        <f>IFERROR(VLOOKUP($B69,'Institution Evaluation'!$A$55:$F$345,6,0),IFERROR(VLOOKUP($B69,'Privacy Analyst Evaluation'!$A$46:$F$120,6,0),""))&amp;""</f>
        <v/>
      </c>
      <c r="G69" s="210"/>
      <c r="H69" s="209" t="str">
        <f>IFERROR(IF($H68+1&gt;'(backend scoring)'!$Q$335,"",$H68+1),"")</f>
        <v/>
      </c>
      <c r="I69" s="209" t="str">
        <f>_xlfn.XLOOKUP($H69,'(backend scoring)'!$S$2:$S$333,'(backend scoring)'!$A$2:$A$333,"")</f>
        <v/>
      </c>
      <c r="J69" s="209" t="str">
        <f>IFERROR(VLOOKUP($I69,'Institution Evaluation'!$A$55:$F$345,2,0),IFERROR(VLOOKUP($I69,'Privacy Analyst Evaluation'!$A$46:$F$120,2,0),""))</f>
        <v/>
      </c>
      <c r="K69" s="209" t="str">
        <f>IFERROR(VLOOKUP($I69,'Institution Evaluation'!$A$55:$F$345,3,0),IFERROR(VLOOKUP($I69,'Privacy Analyst Evaluation'!$A$46:$F$120,3,0),""))&amp;""</f>
        <v/>
      </c>
      <c r="L69" s="209" t="str">
        <f>IFERROR(VLOOKUP($I69,'Institution Evaluation'!$A$55:$F$345,4,0),IFERROR(VLOOKUP($I69,'Privacy Analyst Evaluation'!$A$46:$F$120,4,0),""))&amp;""</f>
        <v/>
      </c>
      <c r="M69" s="209" t="str">
        <f>IFERROR(VLOOKUP($I69,'Institution Evaluation'!$A$55:$F$345,6,0),IFERROR(VLOOKUP($I69,'Privacy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45" x14ac:dyDescent="0.2">
      <c r="A70" s="209">
        <f>IFERROR(IF($A69+1&gt;'(backend scoring)'!$T$335,"",$A69+1),"")</f>
        <v>46</v>
      </c>
      <c r="B70" s="209" t="str">
        <f>_xlfn.XLOOKUP($A70,'(backend scoring)'!$V$2:$V$333,'(backend scoring)'!$A$2:$A$333,"")</f>
        <v>FIDP-02</v>
      </c>
      <c r="C70" s="209" t="str">
        <f>IFERROR(VLOOKUP($B70,'Institution Evaluation'!$A$55:$F$345,2,0),IFERROR(VLOOKUP($B70,'Privacy Analyst Evaluation'!$A$46:$F$120,2,0),""))&amp;""</f>
        <v>Do you have a documented policy for firewall change requests?*</v>
      </c>
      <c r="D70" s="209" t="str">
        <f>IFERROR(VLOOKUP($B70,'Institution Evaluation'!$A$55:$F$345,3,0),IFERROR(VLOOKUP($B70,'Privacy Analyst Evaluation'!$A$46:$F$120,3,0),""))&amp;""</f>
        <v/>
      </c>
      <c r="E70" s="209" t="str">
        <f>IFERROR(VLOOKUP($B70,'Institution Evaluation'!$A$55:$F$345,4,0),IFERROR(VLOOKUP($B70,'Privacy Analyst Evaluation'!$A$46:$F$120,4,0),""))&amp;""</f>
        <v/>
      </c>
      <c r="F70" s="209" t="str">
        <f>IFERROR(VLOOKUP($B70,'Institution Evaluation'!$A$55:$F$345,6,0),IFERROR(VLOOKUP($B70,'Privacy Analyst Evaluation'!$A$46:$F$120,6,0),""))&amp;""</f>
        <v/>
      </c>
      <c r="G70" s="210"/>
      <c r="H70" s="209" t="str">
        <f>IFERROR(IF($H69+1&gt;'(backend scoring)'!$Q$335,"",$H69+1),"")</f>
        <v/>
      </c>
      <c r="I70" s="209" t="str">
        <f>_xlfn.XLOOKUP($H70,'(backend scoring)'!$S$2:$S$333,'(backend scoring)'!$A$2:$A$333,"")</f>
        <v/>
      </c>
      <c r="J70" s="209" t="str">
        <f>IFERROR(VLOOKUP($I70,'Institution Evaluation'!$A$55:$F$345,2,0),IFERROR(VLOOKUP($I70,'Privacy Analyst Evaluation'!$A$46:$F$120,2,0),""))</f>
        <v/>
      </c>
      <c r="K70" s="209" t="str">
        <f>IFERROR(VLOOKUP($I70,'Institution Evaluation'!$A$55:$F$345,3,0),IFERROR(VLOOKUP($I70,'Privacy Analyst Evaluation'!$A$46:$F$120,3,0),""))&amp;""</f>
        <v/>
      </c>
      <c r="L70" s="209" t="str">
        <f>IFERROR(VLOOKUP($I70,'Institution Evaluation'!$A$55:$F$345,4,0),IFERROR(VLOOKUP($I70,'Privacy Analyst Evaluation'!$A$46:$F$120,4,0),""))&amp;""</f>
        <v/>
      </c>
      <c r="M70" s="209" t="str">
        <f>IFERROR(VLOOKUP($I70,'Institution Evaluation'!$A$55:$F$345,6,0),IFERROR(VLOOKUP($I70,'Privacy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45" x14ac:dyDescent="0.2">
      <c r="A71" s="209">
        <f>IFERROR(IF($A70+1&gt;'(backend scoring)'!$T$335,"",$A70+1),"")</f>
        <v>47</v>
      </c>
      <c r="B71" s="209" t="str">
        <f>_xlfn.XLOOKUP($A71,'(backend scoring)'!$V$2:$V$333,'(backend scoring)'!$A$2:$A$333,"")</f>
        <v>FIDP-03</v>
      </c>
      <c r="C71" s="209" t="str">
        <f>IFERROR(VLOOKUP($B71,'Institution Evaluation'!$A$55:$F$345,2,0),IFERROR(VLOOKUP($B71,'Privacy Analyst Evaluation'!$A$46:$F$120,2,0),""))&amp;""</f>
        <v>Have you implemented an intrusion detection system (network-based)?*</v>
      </c>
      <c r="D71" s="209" t="str">
        <f>IFERROR(VLOOKUP($B71,'Institution Evaluation'!$A$55:$F$345,3,0),IFERROR(VLOOKUP($B71,'Privacy Analyst Evaluation'!$A$46:$F$120,3,0),""))&amp;""</f>
        <v/>
      </c>
      <c r="E71" s="209" t="str">
        <f>IFERROR(VLOOKUP($B71,'Institution Evaluation'!$A$55:$F$345,4,0),IFERROR(VLOOKUP($B71,'Privacy Analyst Evaluation'!$A$46:$F$120,4,0),""))&amp;""</f>
        <v/>
      </c>
      <c r="F71" s="209" t="str">
        <f>IFERROR(VLOOKUP($B71,'Institution Evaluation'!$A$55:$F$345,6,0),IFERROR(VLOOKUP($B71,'Privacy Analyst Evaluation'!$A$46:$F$120,6,0),""))&amp;""</f>
        <v/>
      </c>
      <c r="G71" s="210"/>
      <c r="H71" s="209" t="str">
        <f>IFERROR(IF($H70+1&gt;'(backend scoring)'!$Q$335,"",$H70+1),"")</f>
        <v/>
      </c>
      <c r="I71" s="209" t="str">
        <f>_xlfn.XLOOKUP($H71,'(backend scoring)'!$S$2:$S$333,'(backend scoring)'!$A$2:$A$333,"")</f>
        <v/>
      </c>
      <c r="J71" s="209" t="str">
        <f>IFERROR(VLOOKUP($I71,'Institution Evaluation'!$A$55:$F$345,2,0),IFERROR(VLOOKUP($I71,'Privacy Analyst Evaluation'!$A$46:$F$120,2,0),""))</f>
        <v/>
      </c>
      <c r="K71" s="209" t="str">
        <f>IFERROR(VLOOKUP($I71,'Institution Evaluation'!$A$55:$F$345,3,0),IFERROR(VLOOKUP($I71,'Privacy Analyst Evaluation'!$A$46:$F$120,3,0),""))&amp;""</f>
        <v/>
      </c>
      <c r="L71" s="209" t="str">
        <f>IFERROR(VLOOKUP($I71,'Institution Evaluation'!$A$55:$F$345,4,0),IFERROR(VLOOKUP($I71,'Privacy Analyst Evaluation'!$A$46:$F$120,4,0),""))&amp;""</f>
        <v/>
      </c>
      <c r="M71" s="209" t="str">
        <f>IFERROR(VLOOKUP($I71,'Institution Evaluation'!$A$55:$F$345,6,0),IFERROR(VLOOKUP($I71,'Privacy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30" x14ac:dyDescent="0.2">
      <c r="A72" s="209">
        <f>IFERROR(IF($A71+1&gt;'(backend scoring)'!$T$335,"",$A71+1),"")</f>
        <v>48</v>
      </c>
      <c r="B72" s="209" t="str">
        <f>_xlfn.XLOOKUP($A72,'(backend scoring)'!$V$2:$V$333,'(backend scoring)'!$A$2:$A$333,"")</f>
        <v>FIDP-04</v>
      </c>
      <c r="C72" s="209" t="str">
        <f>IFERROR(VLOOKUP($B72,'Institution Evaluation'!$A$55:$F$345,2,0),IFERROR(VLOOKUP($B72,'Privacy Analyst Evaluation'!$A$46:$F$120,2,0),""))&amp;""</f>
        <v>Do you employ host-based intrusion detection?*</v>
      </c>
      <c r="D72" s="209" t="str">
        <f>IFERROR(VLOOKUP($B72,'Institution Evaluation'!$A$55:$F$345,3,0),IFERROR(VLOOKUP($B72,'Privacy Analyst Evaluation'!$A$46:$F$120,3,0),""))&amp;""</f>
        <v/>
      </c>
      <c r="E72" s="209" t="str">
        <f>IFERROR(VLOOKUP($B72,'Institution Evaluation'!$A$55:$F$345,4,0),IFERROR(VLOOKUP($B72,'Privacy Analyst Evaluation'!$A$46:$F$120,4,0),""))&amp;""</f>
        <v/>
      </c>
      <c r="F72" s="209" t="str">
        <f>IFERROR(VLOOKUP($B72,'Institution Evaluation'!$A$55:$F$345,6,0),IFERROR(VLOOKUP($B72,'Privacy Analyst Evaluation'!$A$46:$F$120,6,0),""))&amp;""</f>
        <v/>
      </c>
      <c r="G72" s="210"/>
      <c r="H72" s="209" t="str">
        <f>IFERROR(IF($H71+1&gt;'(backend scoring)'!$Q$335,"",$H71+1),"")</f>
        <v/>
      </c>
      <c r="I72" s="209" t="str">
        <f>_xlfn.XLOOKUP($H72,'(backend scoring)'!$S$2:$S$333,'(backend scoring)'!$A$2:$A$333,"")</f>
        <v/>
      </c>
      <c r="J72" s="209" t="str">
        <f>IFERROR(VLOOKUP($I72,'Institution Evaluation'!$A$55:$F$345,2,0),IFERROR(VLOOKUP($I72,'Privacy Analyst Evaluation'!$A$46:$F$120,2,0),""))</f>
        <v/>
      </c>
      <c r="K72" s="209" t="str">
        <f>IFERROR(VLOOKUP($I72,'Institution Evaluation'!$A$55:$F$345,3,0),IFERROR(VLOOKUP($I72,'Privacy Analyst Evaluation'!$A$46:$F$120,3,0),""))&amp;""</f>
        <v/>
      </c>
      <c r="L72" s="209" t="str">
        <f>IFERROR(VLOOKUP($I72,'Institution Evaluation'!$A$55:$F$345,4,0),IFERROR(VLOOKUP($I72,'Privacy Analyst Evaluation'!$A$46:$F$120,4,0),""))&amp;""</f>
        <v/>
      </c>
      <c r="M72" s="209" t="str">
        <f>IFERROR(VLOOKUP($I72,'Institution Evaluation'!$A$55:$F$345,6,0),IFERROR(VLOOKUP($I72,'Privacy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60" x14ac:dyDescent="0.2">
      <c r="A73" s="209">
        <f>IFERROR(IF($A72+1&gt;'(backend scoring)'!$T$335,"",$A72+1),"")</f>
        <v>49</v>
      </c>
      <c r="B73" s="209" t="str">
        <f>_xlfn.XLOOKUP($A73,'(backend scoring)'!$V$2:$V$333,'(backend scoring)'!$A$2:$A$333,"")</f>
        <v>FIDP-05</v>
      </c>
      <c r="C73" s="209" t="str">
        <f>IFERROR(VLOOKUP($B73,'Institution Evaluation'!$A$55:$F$345,2,0),IFERROR(VLOOKUP($B73,'Privacy Analyst Evaluation'!$A$46:$F$120,2,0),""))&amp;""</f>
        <v>Are audit logs available for all changes to the network, firewall, IDS, and IPS systems?*</v>
      </c>
      <c r="D73" s="209" t="str">
        <f>IFERROR(VLOOKUP($B73,'Institution Evaluation'!$A$55:$F$345,3,0),IFERROR(VLOOKUP($B73,'Privacy Analyst Evaluation'!$A$46:$F$120,3,0),""))&amp;""</f>
        <v/>
      </c>
      <c r="E73" s="209" t="str">
        <f>IFERROR(VLOOKUP($B73,'Institution Evaluation'!$A$55:$F$345,4,0),IFERROR(VLOOKUP($B73,'Privacy Analyst Evaluation'!$A$46:$F$120,4,0),""))&amp;""</f>
        <v/>
      </c>
      <c r="F73" s="209" t="str">
        <f>IFERROR(VLOOKUP($B73,'Institution Evaluation'!$A$55:$F$345,6,0),IFERROR(VLOOKUP($B73,'Privacy Analyst Evaluation'!$A$46:$F$120,6,0),""))&amp;""</f>
        <v/>
      </c>
      <c r="G73" s="210"/>
      <c r="H73" s="209" t="str">
        <f>IFERROR(IF($H72+1&gt;'(backend scoring)'!$Q$335,"",$H72+1),"")</f>
        <v/>
      </c>
      <c r="I73" s="209" t="str">
        <f>_xlfn.XLOOKUP($H73,'(backend scoring)'!$S$2:$S$333,'(backend scoring)'!$A$2:$A$333,"")</f>
        <v/>
      </c>
      <c r="J73" s="209" t="str">
        <f>IFERROR(VLOOKUP($I73,'Institution Evaluation'!$A$55:$F$345,2,0),IFERROR(VLOOKUP($I73,'Privacy Analyst Evaluation'!$A$46:$F$120,2,0),""))</f>
        <v/>
      </c>
      <c r="K73" s="209" t="str">
        <f>IFERROR(VLOOKUP($I73,'Institution Evaluation'!$A$55:$F$345,3,0),IFERROR(VLOOKUP($I73,'Privacy Analyst Evaluation'!$A$46:$F$120,3,0),""))&amp;""</f>
        <v/>
      </c>
      <c r="L73" s="209" t="str">
        <f>IFERROR(VLOOKUP($I73,'Institution Evaluation'!$A$55:$F$345,4,0),IFERROR(VLOOKUP($I73,'Privacy Analyst Evaluation'!$A$46:$F$120,4,0),""))&amp;""</f>
        <v/>
      </c>
      <c r="M73" s="209" t="str">
        <f>IFERROR(VLOOKUP($I73,'Institution Evaluation'!$A$55:$F$345,6,0),IFERROR(VLOOKUP($I73,'Privacy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0" x14ac:dyDescent="0.2">
      <c r="A74" s="209">
        <f>IFERROR(IF($A73+1&gt;'(backend scoring)'!$T$335,"",$A73+1),"")</f>
        <v>50</v>
      </c>
      <c r="B74" s="209" t="str">
        <f>_xlfn.XLOOKUP($A74,'(backend scoring)'!$V$2:$V$333,'(backend scoring)'!$A$2:$A$333,"")</f>
        <v>PPPR-01</v>
      </c>
      <c r="C74" s="209" t="str">
        <f>IFERROR(VLOOKUP($B74,'Institution Evaluation'!$A$55:$F$345,2,0),IFERROR(VLOOKUP($B74,'Privacy Analyst Evaluation'!$A$46:$F$120,2,0),""))&amp;""</f>
        <v>Do you have a documented patch management process?*</v>
      </c>
      <c r="D74" s="209" t="str">
        <f>IFERROR(VLOOKUP($B74,'Institution Evaluation'!$A$55:$F$345,3,0),IFERROR(VLOOKUP($B74,'Privacy Analyst Evaluation'!$A$46:$F$120,3,0),""))&amp;""</f>
        <v/>
      </c>
      <c r="E74" s="209" t="str">
        <f>IFERROR(VLOOKUP($B74,'Institution Evaluation'!$A$55:$F$345,4,0),IFERROR(VLOOKUP($B74,'Privacy Analyst Evaluation'!$A$46:$F$120,4,0),""))&amp;""</f>
        <v/>
      </c>
      <c r="F74" s="209" t="str">
        <f>IFERROR(VLOOKUP($B74,'Institution Evaluation'!$A$55:$F$345,6,0),IFERROR(VLOOKUP($B74,'Privacy Analyst Evaluation'!$A$46:$F$120,6,0),""))&amp;""</f>
        <v/>
      </c>
      <c r="G74" s="210"/>
      <c r="H74" s="209" t="str">
        <f>IFERROR(IF($H73+1&gt;'(backend scoring)'!$Q$335,"",$H73+1),"")</f>
        <v/>
      </c>
      <c r="I74" s="209" t="str">
        <f>_xlfn.XLOOKUP($H74,'(backend scoring)'!$S$2:$S$333,'(backend scoring)'!$A$2:$A$333,"")</f>
        <v/>
      </c>
      <c r="J74" s="209" t="str">
        <f>IFERROR(VLOOKUP($I74,'Institution Evaluation'!$A$55:$F$345,2,0),IFERROR(VLOOKUP($I74,'Privacy Analyst Evaluation'!$A$46:$F$120,2,0),""))</f>
        <v/>
      </c>
      <c r="K74" s="209" t="str">
        <f>IFERROR(VLOOKUP($I74,'Institution Evaluation'!$A$55:$F$345,3,0),IFERROR(VLOOKUP($I74,'Privacy Analyst Evaluation'!$A$46:$F$120,3,0),""))&amp;""</f>
        <v/>
      </c>
      <c r="L74" s="209" t="str">
        <f>IFERROR(VLOOKUP($I74,'Institution Evaluation'!$A$55:$F$345,4,0),IFERROR(VLOOKUP($I74,'Privacy Analyst Evaluation'!$A$46:$F$120,4,0),""))&amp;""</f>
        <v/>
      </c>
      <c r="M74" s="209" t="str">
        <f>IFERROR(VLOOKUP($I74,'Institution Evaluation'!$A$55:$F$345,6,0),IFERROR(VLOOKUP($I74,'Privacy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90" x14ac:dyDescent="0.2">
      <c r="A75" s="209">
        <f>IFERROR(IF($A74+1&gt;'(backend scoring)'!$T$335,"",$A74+1),"")</f>
        <v>51</v>
      </c>
      <c r="B75" s="209" t="str">
        <f>_xlfn.XLOOKUP($A75,'(backend scoring)'!$V$2:$V$333,'(backend scoring)'!$A$2:$A$333,"")</f>
        <v>PPPR-02</v>
      </c>
      <c r="C75" s="209" t="str">
        <f>IFERROR(VLOOKUP($B75,'Institution Evaluation'!$A$55:$F$345,2,0),IFERROR(VLOOKUP($B75,'Privacy Analyst Evaluation'!$A$46:$F$120,2,0),""))&amp;""</f>
        <v>Can your organization comply with institutional policies on privacy and data protection with regard to users of institutional systems, if required?*</v>
      </c>
      <c r="D75" s="209" t="str">
        <f>IFERROR(VLOOKUP($B75,'Institution Evaluation'!$A$55:$F$345,3,0),IFERROR(VLOOKUP($B75,'Privacy Analyst Evaluation'!$A$46:$F$120,3,0),""))&amp;""</f>
        <v/>
      </c>
      <c r="E75" s="209" t="str">
        <f>IFERROR(VLOOKUP($B75,'Institution Evaluation'!$A$55:$F$345,4,0),IFERROR(VLOOKUP($B75,'Privacy Analyst Evaluation'!$A$46:$F$120,4,0),""))&amp;""</f>
        <v/>
      </c>
      <c r="F75" s="209" t="str">
        <f>IFERROR(VLOOKUP($B75,'Institution Evaluation'!$A$55:$F$345,6,0),IFERROR(VLOOKUP($B75,'Privacy Analyst Evaluation'!$A$46:$F$120,6,0),""))&amp;""</f>
        <v/>
      </c>
      <c r="G75" s="210"/>
      <c r="H75" s="209" t="str">
        <f>IFERROR(IF($H74+1&gt;'(backend scoring)'!$Q$335,"",$H74+1),"")</f>
        <v/>
      </c>
      <c r="I75" s="209" t="str">
        <f>_xlfn.XLOOKUP($H75,'(backend scoring)'!$S$2:$S$333,'(backend scoring)'!$A$2:$A$333,"")</f>
        <v/>
      </c>
      <c r="J75" s="209" t="str">
        <f>IFERROR(VLOOKUP($I75,'Institution Evaluation'!$A$55:$F$345,2,0),IFERROR(VLOOKUP($I75,'Privacy Analyst Evaluation'!$A$46:$F$120,2,0),""))</f>
        <v/>
      </c>
      <c r="K75" s="209" t="str">
        <f>IFERROR(VLOOKUP($I75,'Institution Evaluation'!$A$55:$F$345,3,0),IFERROR(VLOOKUP($I75,'Privacy Analyst Evaluation'!$A$46:$F$120,3,0),""))&amp;""</f>
        <v/>
      </c>
      <c r="L75" s="209" t="str">
        <f>IFERROR(VLOOKUP($I75,'Institution Evaluation'!$A$55:$F$345,4,0),IFERROR(VLOOKUP($I75,'Privacy Analyst Evaluation'!$A$46:$F$120,4,0),""))&amp;""</f>
        <v/>
      </c>
      <c r="M75" s="209" t="str">
        <f>IFERROR(VLOOKUP($I75,'Institution Evaluation'!$A$55:$F$345,6,0),IFERROR(VLOOKUP($I75,'Privacy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45" x14ac:dyDescent="0.2">
      <c r="A76" s="209">
        <f>IFERROR(IF($A75+1&gt;'(backend scoring)'!$T$335,"",$A75+1),"")</f>
        <v>52</v>
      </c>
      <c r="B76" s="209" t="str">
        <f>_xlfn.XLOOKUP($A76,'(backend scoring)'!$V$2:$V$333,'(backend scoring)'!$A$2:$A$333,"")</f>
        <v>PPPR-03</v>
      </c>
      <c r="C76" s="209" t="str">
        <f>IFERROR(VLOOKUP($B76,'Institution Evaluation'!$A$55:$F$345,2,0),IFERROR(VLOOKUP($B76,'Privacy Analyst Evaluation'!$A$46:$F$120,2,0),""))&amp;""</f>
        <v>Is your company subject to the institution's geographic region's laws and regulations?*</v>
      </c>
      <c r="D76" s="209" t="str">
        <f>IFERROR(VLOOKUP($B76,'Institution Evaluation'!$A$55:$F$345,3,0),IFERROR(VLOOKUP($B76,'Privacy Analyst Evaluation'!$A$46:$F$120,3,0),""))&amp;""</f>
        <v/>
      </c>
      <c r="E76" s="209" t="str">
        <f>IFERROR(VLOOKUP($B76,'Institution Evaluation'!$A$55:$F$345,4,0),IFERROR(VLOOKUP($B76,'Privacy Analyst Evaluation'!$A$46:$F$120,4,0),""))&amp;""</f>
        <v/>
      </c>
      <c r="F76" s="209" t="str">
        <f>IFERROR(VLOOKUP($B76,'Institution Evaluation'!$A$55:$F$345,6,0),IFERROR(VLOOKUP($B76,'Privacy Analyst Evaluation'!$A$46:$F$120,6,0),""))&amp;""</f>
        <v/>
      </c>
      <c r="G76" s="210"/>
      <c r="H76" s="209" t="str">
        <f>IFERROR(IF($H75+1&gt;'(backend scoring)'!$Q$335,"",$H75+1),"")</f>
        <v/>
      </c>
      <c r="I76" s="209" t="str">
        <f>_xlfn.XLOOKUP($H76,'(backend scoring)'!$S$2:$S$333,'(backend scoring)'!$A$2:$A$333,"")</f>
        <v/>
      </c>
      <c r="J76" s="209" t="str">
        <f>IFERROR(VLOOKUP($I76,'Institution Evaluation'!$A$55:$F$345,2,0),IFERROR(VLOOKUP($I76,'Privacy Analyst Evaluation'!$A$46:$F$120,2,0),""))</f>
        <v/>
      </c>
      <c r="K76" s="209" t="str">
        <f>IFERROR(VLOOKUP($I76,'Institution Evaluation'!$A$55:$F$345,3,0),IFERROR(VLOOKUP($I76,'Privacy Analyst Evaluation'!$A$46:$F$120,3,0),""))&amp;""</f>
        <v/>
      </c>
      <c r="L76" s="209" t="str">
        <f>IFERROR(VLOOKUP($I76,'Institution Evaluation'!$A$55:$F$345,4,0),IFERROR(VLOOKUP($I76,'Privacy Analyst Evaluation'!$A$46:$F$120,4,0),""))&amp;""</f>
        <v/>
      </c>
      <c r="M76" s="209" t="str">
        <f>IFERROR(VLOOKUP($I76,'Institution Evaluation'!$A$55:$F$345,6,0),IFERROR(VLOOKUP($I76,'Privacy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90" x14ac:dyDescent="0.2">
      <c r="A77" s="209">
        <f>IFERROR(IF($A76+1&gt;'(backend scoring)'!$T$335,"",$A76+1),"")</f>
        <v>53</v>
      </c>
      <c r="B77" s="209" t="str">
        <f>_xlfn.XLOOKUP($A77,'(backend scoring)'!$V$2:$V$333,'(backend scoring)'!$A$2:$A$333,"")</f>
        <v>VULN-01</v>
      </c>
      <c r="C77" s="209" t="str">
        <f>IFERROR(VLOOKUP($B77,'Institution Evaluation'!$A$55:$F$345,2,0),IFERROR(VLOOKUP($B77,'Privacy Analyst Evaluation'!$A$46:$F$120,2,0),""))&amp;""</f>
        <v>Are your systems and applications scanned with an authenticated user account for vulnerabilities (that are remediated) prior to new releases?*</v>
      </c>
      <c r="D77" s="209" t="str">
        <f>IFERROR(VLOOKUP($B77,'Institution Evaluation'!$A$55:$F$345,3,0),IFERROR(VLOOKUP($B77,'Privacy Analyst Evaluation'!$A$46:$F$120,3,0),""))&amp;""</f>
        <v/>
      </c>
      <c r="E77" s="209" t="str">
        <f>IFERROR(VLOOKUP($B77,'Institution Evaluation'!$A$55:$F$345,4,0),IFERROR(VLOOKUP($B77,'Privacy Analyst Evaluation'!$A$46:$F$120,4,0),""))&amp;""</f>
        <v/>
      </c>
      <c r="F77" s="209" t="str">
        <f>IFERROR(VLOOKUP($B77,'Institution Evaluation'!$A$55:$F$345,6,0),IFERROR(VLOOKUP($B77,'Privacy Analyst Evaluation'!$A$46:$F$120,6,0),""))&amp;""</f>
        <v/>
      </c>
      <c r="G77" s="210"/>
      <c r="H77" s="209" t="str">
        <f>IFERROR(IF($H76+1&gt;'(backend scoring)'!$Q$335,"",$H76+1),"")</f>
        <v/>
      </c>
      <c r="I77" s="209" t="str">
        <f>_xlfn.XLOOKUP($H77,'(backend scoring)'!$S$2:$S$333,'(backend scoring)'!$A$2:$A$333,"")</f>
        <v/>
      </c>
      <c r="J77" s="209" t="str">
        <f>IFERROR(VLOOKUP($I77,'Institution Evaluation'!$A$55:$F$345,2,0),IFERROR(VLOOKUP($I77,'Privacy Analyst Evaluation'!$A$46:$F$120,2,0),""))</f>
        <v/>
      </c>
      <c r="K77" s="209" t="str">
        <f>IFERROR(VLOOKUP($I77,'Institution Evaluation'!$A$55:$F$345,3,0),IFERROR(VLOOKUP($I77,'Privacy Analyst Evaluation'!$A$46:$F$120,3,0),""))&amp;""</f>
        <v/>
      </c>
      <c r="L77" s="209" t="str">
        <f>IFERROR(VLOOKUP($I77,'Institution Evaluation'!$A$55:$F$345,4,0),IFERROR(VLOOKUP($I77,'Privacy Analyst Evaluation'!$A$46:$F$120,4,0),""))&amp;""</f>
        <v/>
      </c>
      <c r="M77" s="209" t="str">
        <f>IFERROR(VLOOKUP($I77,'Institution Evaluation'!$A$55:$F$345,6,0),IFERROR(VLOOKUP($I77,'Privacy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60" x14ac:dyDescent="0.2">
      <c r="A78" s="209">
        <f>IFERROR(IF($A77+1&gt;'(backend scoring)'!$T$335,"",$A77+1),"")</f>
        <v>54</v>
      </c>
      <c r="B78" s="209" t="str">
        <f>_xlfn.XLOOKUP($A78,'(backend scoring)'!$V$2:$V$333,'(backend scoring)'!$A$2:$A$333,"")</f>
        <v>VULN-02</v>
      </c>
      <c r="C78" s="209" t="str">
        <f>IFERROR(VLOOKUP($B78,'Institution Evaluation'!$A$55:$F$345,2,0),IFERROR(VLOOKUP($B78,'Privacy Analyst Evaluation'!$A$46:$F$120,2,0),""))&amp;""</f>
        <v>Will you provide results of application and system vulnerability scans to the institution?*</v>
      </c>
      <c r="D78" s="209" t="str">
        <f>IFERROR(VLOOKUP($B78,'Institution Evaluation'!$A$55:$F$345,3,0),IFERROR(VLOOKUP($B78,'Privacy Analyst Evaluation'!$A$46:$F$120,3,0),""))&amp;""</f>
        <v/>
      </c>
      <c r="E78" s="209" t="str">
        <f>IFERROR(VLOOKUP($B78,'Institution Evaluation'!$A$55:$F$345,4,0),IFERROR(VLOOKUP($B78,'Privacy Analyst Evaluation'!$A$46:$F$120,4,0),""))&amp;""</f>
        <v/>
      </c>
      <c r="F78" s="209" t="str">
        <f>IFERROR(VLOOKUP($B78,'Institution Evaluation'!$A$55:$F$345,6,0),IFERROR(VLOOKUP($B78,'Privacy Analyst Evaluation'!$A$46:$F$120,6,0),""))&amp;""</f>
        <v/>
      </c>
      <c r="G78" s="210"/>
      <c r="H78" s="209" t="str">
        <f>IFERROR(IF($H77+1&gt;'(backend scoring)'!$Q$335,"",$H77+1),"")</f>
        <v/>
      </c>
      <c r="I78" s="209" t="str">
        <f>_xlfn.XLOOKUP($H78,'(backend scoring)'!$S$2:$S$333,'(backend scoring)'!$A$2:$A$333,"")</f>
        <v/>
      </c>
      <c r="J78" s="209" t="str">
        <f>IFERROR(VLOOKUP($I78,'Institution Evaluation'!$A$55:$F$345,2,0),IFERROR(VLOOKUP($I78,'Privacy Analyst Evaluation'!$A$46:$F$120,2,0),""))</f>
        <v/>
      </c>
      <c r="K78" s="209" t="str">
        <f>IFERROR(VLOOKUP($I78,'Institution Evaluation'!$A$55:$F$345,3,0),IFERROR(VLOOKUP($I78,'Privacy Analyst Evaluation'!$A$46:$F$120,3,0),""))&amp;""</f>
        <v/>
      </c>
      <c r="L78" s="209" t="str">
        <f>IFERROR(VLOOKUP($I78,'Institution Evaluation'!$A$55:$F$345,4,0),IFERROR(VLOOKUP($I78,'Privacy Analyst Evaluation'!$A$46:$F$120,4,0),""))&amp;""</f>
        <v/>
      </c>
      <c r="M78" s="209" t="str">
        <f>IFERROR(VLOOKUP($I78,'Institution Evaluation'!$A$55:$F$345,6,0),IFERROR(VLOOKUP($I78,'Privacy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105" x14ac:dyDescent="0.2">
      <c r="A79" s="209">
        <f>IFERROR(IF($A78+1&gt;'(backend scoring)'!$T$335,"",$A78+1),"")</f>
        <v>55</v>
      </c>
      <c r="B79" s="209" t="str">
        <f>_xlfn.XLOOKUP($A79,'(backend scoring)'!$V$2:$V$333,'(backend scoring)'!$A$2:$A$333,"")</f>
        <v>VULN-03</v>
      </c>
      <c r="C79" s="209" t="str">
        <f>IFERROR(VLOOKUP($B79,'Institution Evaluation'!$A$55:$F$345,2,0),IFERROR(VLOOKUP($B79,'Privacy Analyst Evaluation'!$A$46:$F$120,2,0),""))&amp;""</f>
        <v>Will you allow the institution to perform its own vulnerability testing and/or scanning of your systems and/or application, provided that testing is performed at a mutually agreed upon time and date?*</v>
      </c>
      <c r="D79" s="209" t="str">
        <f>IFERROR(VLOOKUP($B79,'Institution Evaluation'!$A$55:$F$345,3,0),IFERROR(VLOOKUP($B79,'Privacy Analyst Evaluation'!$A$46:$F$120,3,0),""))&amp;""</f>
        <v/>
      </c>
      <c r="E79" s="209" t="str">
        <f>IFERROR(VLOOKUP($B79,'Institution Evaluation'!$A$55:$F$345,4,0),IFERROR(VLOOKUP($B79,'Privacy Analyst Evaluation'!$A$46:$F$120,4,0),""))&amp;""</f>
        <v/>
      </c>
      <c r="F79" s="209" t="str">
        <f>IFERROR(VLOOKUP($B79,'Institution Evaluation'!$A$55:$F$345,6,0),IFERROR(VLOOKUP($B79,'Privacy Analyst Evaluation'!$A$46:$F$120,6,0),""))&amp;""</f>
        <v/>
      </c>
      <c r="G79" s="210"/>
      <c r="H79" s="209" t="str">
        <f>IFERROR(IF($H78+1&gt;'(backend scoring)'!$Q$335,"",$H78+1),"")</f>
        <v/>
      </c>
      <c r="I79" s="209" t="str">
        <f>_xlfn.XLOOKUP($H79,'(backend scoring)'!$S$2:$S$333,'(backend scoring)'!$A$2:$A$333,"")</f>
        <v/>
      </c>
      <c r="J79" s="209" t="str">
        <f>IFERROR(VLOOKUP($I79,'Institution Evaluation'!$A$55:$F$345,2,0),IFERROR(VLOOKUP($I79,'Privacy Analyst Evaluation'!$A$46:$F$120,2,0),""))</f>
        <v/>
      </c>
      <c r="K79" s="209" t="str">
        <f>IFERROR(VLOOKUP($I79,'Institution Evaluation'!$A$55:$F$345,3,0),IFERROR(VLOOKUP($I79,'Privacy Analyst Evaluation'!$A$46:$F$120,3,0),""))&amp;""</f>
        <v/>
      </c>
      <c r="L79" s="209" t="str">
        <f>IFERROR(VLOOKUP($I79,'Institution Evaluation'!$A$55:$F$345,4,0),IFERROR(VLOOKUP($I79,'Privacy Analyst Evaluation'!$A$46:$F$120,4,0),""))&amp;""</f>
        <v/>
      </c>
      <c r="M79" s="209" t="str">
        <f>IFERROR(VLOOKUP($I79,'Institution Evaluation'!$A$55:$F$345,6,0),IFERROR(VLOOKUP($I79,'Privacy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105" x14ac:dyDescent="0.2">
      <c r="A80" s="209">
        <f>IFERROR(IF($A79+1&gt;'(backend scoring)'!$T$335,"",$A79+1),"")</f>
        <v>56</v>
      </c>
      <c r="B80" s="209" t="str">
        <f>_xlfn.XLOOKUP($A80,'(backend scoring)'!$V$2:$V$333,'(backend scoring)'!$A$2:$A$333,"")</f>
        <v>HIPA-01</v>
      </c>
      <c r="C80" s="209" t="str">
        <f>IFERROR(VLOOKUP($B80,'Institution Evaluation'!$A$55:$F$345,2,0),IFERROR(VLOOKUP($B80,'Privacy Analyst Evaluation'!$A$46:$F$120,2,0),""))&amp;""</f>
        <v>Do your workforce members receive regular training related to the Health Insurance Portability and Accountability Act (HIPAA) Privacy and Security Rules and the HITECH Act?*</v>
      </c>
      <c r="D80" s="209" t="str">
        <f>IFERROR(VLOOKUP($B80,'Institution Evaluation'!$A$55:$F$345,3,0),IFERROR(VLOOKUP($B80,'Privacy Analyst Evaluation'!$A$46:$F$120,3,0),""))&amp;""</f>
        <v/>
      </c>
      <c r="E80" s="209" t="str">
        <f>IFERROR(VLOOKUP($B80,'Institution Evaluation'!$A$55:$F$345,4,0),IFERROR(VLOOKUP($B80,'Privacy Analyst Evaluation'!$A$46:$F$120,4,0),""))&amp;""</f>
        <v/>
      </c>
      <c r="F80" s="209" t="str">
        <f>IFERROR(VLOOKUP($B80,'Institution Evaluation'!$A$55:$F$345,6,0),IFERROR(VLOOKUP($B80,'Privacy Analyst Evaluation'!$A$46:$F$120,6,0),""))&amp;""</f>
        <v/>
      </c>
      <c r="G80" s="210"/>
      <c r="H80" s="209" t="str">
        <f>IFERROR(IF($H79+1&gt;'(backend scoring)'!$Q$335,"",$H79+1),"")</f>
        <v/>
      </c>
      <c r="I80" s="209" t="str">
        <f>_xlfn.XLOOKUP($H80,'(backend scoring)'!$S$2:$S$333,'(backend scoring)'!$A$2:$A$333,"")</f>
        <v/>
      </c>
      <c r="J80" s="209" t="str">
        <f>IFERROR(VLOOKUP($I80,'Institution Evaluation'!$A$55:$F$345,2,0),IFERROR(VLOOKUP($I80,'Privacy Analyst Evaluation'!$A$46:$F$120,2,0),""))</f>
        <v/>
      </c>
      <c r="K80" s="209" t="str">
        <f>IFERROR(VLOOKUP($I80,'Institution Evaluation'!$A$55:$F$345,3,0),IFERROR(VLOOKUP($I80,'Privacy Analyst Evaluation'!$A$46:$F$120,3,0),""))&amp;""</f>
        <v/>
      </c>
      <c r="L80" s="209" t="str">
        <f>IFERROR(VLOOKUP($I80,'Institution Evaluation'!$A$55:$F$345,4,0),IFERROR(VLOOKUP($I80,'Privacy Analyst Evaluation'!$A$46:$F$120,4,0),""))&amp;""</f>
        <v/>
      </c>
      <c r="M80" s="209" t="str">
        <f>IFERROR(VLOOKUP($I80,'Institution Evaluation'!$A$55:$F$345,6,0),IFERROR(VLOOKUP($I80,'Privacy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30" x14ac:dyDescent="0.2">
      <c r="A81" s="209">
        <f>IFERROR(IF($A80+1&gt;'(backend scoring)'!$T$335,"",$A80+1),"")</f>
        <v>57</v>
      </c>
      <c r="B81" s="209" t="str">
        <f>_xlfn.XLOOKUP($A81,'(backend scoring)'!$V$2:$V$333,'(backend scoring)'!$A$2:$A$333,"")</f>
        <v>HIPA-02</v>
      </c>
      <c r="C81" s="209" t="str">
        <f>IFERROR(VLOOKUP($B81,'Institution Evaluation'!$A$55:$F$345,2,0),IFERROR(VLOOKUP($B81,'Privacy Analyst Evaluation'!$A$46:$F$120,2,0),""))&amp;""</f>
        <v>Have you identified areas of risk?*</v>
      </c>
      <c r="D81" s="209" t="str">
        <f>IFERROR(VLOOKUP($B81,'Institution Evaluation'!$A$55:$F$345,3,0),IFERROR(VLOOKUP($B81,'Privacy Analyst Evaluation'!$A$46:$F$120,3,0),""))&amp;""</f>
        <v/>
      </c>
      <c r="E81" s="209" t="str">
        <f>IFERROR(VLOOKUP($B81,'Institution Evaluation'!$A$55:$F$345,4,0),IFERROR(VLOOKUP($B81,'Privacy Analyst Evaluation'!$A$46:$F$120,4,0),""))&amp;""</f>
        <v/>
      </c>
      <c r="F81" s="209" t="str">
        <f>IFERROR(VLOOKUP($B81,'Institution Evaluation'!$A$55:$F$345,6,0),IFERROR(VLOOKUP($B81,'Privacy Analyst Evaluation'!$A$46:$F$120,6,0),""))&amp;""</f>
        <v/>
      </c>
      <c r="G81" s="210"/>
      <c r="H81" s="209" t="str">
        <f>IFERROR(IF($H80+1&gt;'(backend scoring)'!$Q$335,"",$H80+1),"")</f>
        <v/>
      </c>
      <c r="I81" s="209" t="str">
        <f>_xlfn.XLOOKUP($H81,'(backend scoring)'!$S$2:$S$333,'(backend scoring)'!$A$2:$A$333,"")</f>
        <v/>
      </c>
      <c r="J81" s="209" t="str">
        <f>IFERROR(VLOOKUP($I81,'Institution Evaluation'!$A$55:$F$345,2,0),IFERROR(VLOOKUP($I81,'Privacy Analyst Evaluation'!$A$46:$F$120,2,0),""))</f>
        <v/>
      </c>
      <c r="K81" s="209" t="str">
        <f>IFERROR(VLOOKUP($I81,'Institution Evaluation'!$A$55:$F$345,3,0),IFERROR(VLOOKUP($I81,'Privacy Analyst Evaluation'!$A$46:$F$120,3,0),""))&amp;""</f>
        <v/>
      </c>
      <c r="L81" s="209" t="str">
        <f>IFERROR(VLOOKUP($I81,'Institution Evaluation'!$A$55:$F$345,4,0),IFERROR(VLOOKUP($I81,'Privacy Analyst Evaluation'!$A$46:$F$120,4,0),""))&amp;""</f>
        <v/>
      </c>
      <c r="M81" s="209" t="str">
        <f>IFERROR(VLOOKUP($I81,'Institution Evaluation'!$A$55:$F$345,6,0),IFERROR(VLOOKUP($I81,'Privacy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30" x14ac:dyDescent="0.2">
      <c r="A82" s="209">
        <f>IFERROR(IF($A81+1&gt;'(backend scoring)'!$T$335,"",$A81+1),"")</f>
        <v>58</v>
      </c>
      <c r="B82" s="209" t="str">
        <f>_xlfn.XLOOKUP($A82,'(backend scoring)'!$V$2:$V$333,'(backend scoring)'!$A$2:$A$333,"")</f>
        <v>HIPA-03</v>
      </c>
      <c r="C82" s="209" t="str">
        <f>IFERROR(VLOOKUP($B82,'Institution Evaluation'!$A$55:$F$345,2,0),IFERROR(VLOOKUP($B82,'Privacy Analyst Evaluation'!$A$46:$F$120,2,0),""))&amp;""</f>
        <v>Have the relevant policies/plans been tested?*</v>
      </c>
      <c r="D82" s="209" t="str">
        <f>IFERROR(VLOOKUP($B82,'Institution Evaluation'!$A$55:$F$345,3,0),IFERROR(VLOOKUP($B82,'Privacy Analyst Evaluation'!$A$46:$F$120,3,0),""))&amp;""</f>
        <v/>
      </c>
      <c r="E82" s="209" t="str">
        <f>IFERROR(VLOOKUP($B82,'Institution Evaluation'!$A$55:$F$345,4,0),IFERROR(VLOOKUP($B82,'Privacy Analyst Evaluation'!$A$46:$F$120,4,0),""))&amp;""</f>
        <v/>
      </c>
      <c r="F82" s="209" t="str">
        <f>IFERROR(VLOOKUP($B82,'Institution Evaluation'!$A$55:$F$345,6,0),IFERROR(VLOOKUP($B82,'Privacy Analyst Evaluation'!$A$46:$F$120,6,0),""))&amp;""</f>
        <v/>
      </c>
      <c r="G82" s="210"/>
      <c r="H82" s="209" t="str">
        <f>IFERROR(IF($H81+1&gt;'(backend scoring)'!$Q$335,"",$H81+1),"")</f>
        <v/>
      </c>
      <c r="I82" s="209" t="str">
        <f>_xlfn.XLOOKUP($H82,'(backend scoring)'!$S$2:$S$333,'(backend scoring)'!$A$2:$A$333,"")</f>
        <v/>
      </c>
      <c r="J82" s="209" t="str">
        <f>IFERROR(VLOOKUP($I82,'Institution Evaluation'!$A$55:$F$345,2,0),IFERROR(VLOOKUP($I82,'Privacy Analyst Evaluation'!$A$46:$F$120,2,0),""))</f>
        <v/>
      </c>
      <c r="K82" s="209" t="str">
        <f>IFERROR(VLOOKUP($I82,'Institution Evaluation'!$A$55:$F$345,3,0),IFERROR(VLOOKUP($I82,'Privacy Analyst Evaluation'!$A$46:$F$120,3,0),""))&amp;""</f>
        <v/>
      </c>
      <c r="L82" s="209" t="str">
        <f>IFERROR(VLOOKUP($I82,'Institution Evaluation'!$A$55:$F$345,4,0),IFERROR(VLOOKUP($I82,'Privacy Analyst Evaluation'!$A$46:$F$120,4,0),""))&amp;""</f>
        <v/>
      </c>
      <c r="M82" s="209" t="str">
        <f>IFERROR(VLOOKUP($I82,'Institution Evaluation'!$A$55:$F$345,6,0),IFERROR(VLOOKUP($I82,'Privacy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75" x14ac:dyDescent="0.2">
      <c r="A83" s="209">
        <f>IFERROR(IF($A82+1&gt;'(backend scoring)'!$T$335,"",$A82+1),"")</f>
        <v>59</v>
      </c>
      <c r="B83" s="209" t="str">
        <f>_xlfn.XLOOKUP($A83,'(backend scoring)'!$V$2:$V$333,'(backend scoring)'!$A$2:$A$333,"")</f>
        <v>HIPA-04</v>
      </c>
      <c r="C83" s="209" t="str">
        <f>IFERROR(VLOOKUP($B83,'Institution Evaluation'!$A$55:$F$345,2,0),IFERROR(VLOOKUP($B83,'Privacy Analyst Evaluation'!$A$46:$F$120,2,0),""))&amp;""</f>
        <v>Have you entered into a Business Associate Agreements with all subcontractors who may have access to protected health information (PHI)?*</v>
      </c>
      <c r="D83" s="209" t="str">
        <f>IFERROR(VLOOKUP($B83,'Institution Evaluation'!$A$55:$F$345,3,0),IFERROR(VLOOKUP($B83,'Privacy Analyst Evaluation'!$A$46:$F$120,3,0),""))&amp;""</f>
        <v/>
      </c>
      <c r="E83" s="209" t="str">
        <f>IFERROR(VLOOKUP($B83,'Institution Evaluation'!$A$55:$F$345,4,0),IFERROR(VLOOKUP($B83,'Privacy Analyst Evaluation'!$A$46:$F$120,4,0),""))&amp;""</f>
        <v/>
      </c>
      <c r="F83" s="209" t="str">
        <f>IFERROR(VLOOKUP($B83,'Institution Evaluation'!$A$55:$F$345,6,0),IFERROR(VLOOKUP($B83,'Privacy Analyst Evaluation'!$A$46:$F$120,6,0),""))&amp;""</f>
        <v/>
      </c>
      <c r="G83" s="210"/>
      <c r="H83" s="209" t="str">
        <f>IFERROR(IF($H82+1&gt;'(backend scoring)'!$Q$335,"",$H82+1),"")</f>
        <v/>
      </c>
      <c r="I83" s="209" t="str">
        <f>_xlfn.XLOOKUP($H83,'(backend scoring)'!$S$2:$S$333,'(backend scoring)'!$A$2:$A$333,"")</f>
        <v/>
      </c>
      <c r="J83" s="209" t="str">
        <f>IFERROR(VLOOKUP($I83,'Institution Evaluation'!$A$55:$F$345,2,0),IFERROR(VLOOKUP($I83,'Privacy Analyst Evaluation'!$A$46:$F$120,2,0),""))</f>
        <v/>
      </c>
      <c r="K83" s="209" t="str">
        <f>IFERROR(VLOOKUP($I83,'Institution Evaluation'!$A$55:$F$345,3,0),IFERROR(VLOOKUP($I83,'Privacy Analyst Evaluation'!$A$46:$F$120,3,0),""))&amp;""</f>
        <v/>
      </c>
      <c r="L83" s="209" t="str">
        <f>IFERROR(VLOOKUP($I83,'Institution Evaluation'!$A$55:$F$345,4,0),IFERROR(VLOOKUP($I83,'Privacy Analyst Evaluation'!$A$46:$F$120,4,0),""))&amp;""</f>
        <v/>
      </c>
      <c r="M83" s="209" t="str">
        <f>IFERROR(VLOOKUP($I83,'Institution Evaluation'!$A$55:$F$345,6,0),IFERROR(VLOOKUP($I83,'Privacy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75" x14ac:dyDescent="0.2">
      <c r="A84" s="209">
        <f>IFERROR(IF($A83+1&gt;'(backend scoring)'!$T$335,"",$A83+1),"")</f>
        <v>60</v>
      </c>
      <c r="B84" s="209" t="str">
        <f>_xlfn.XLOOKUP($A84,'(backend scoring)'!$V$2:$V$333,'(backend scoring)'!$A$2:$A$333,"")</f>
        <v>PCID-01</v>
      </c>
      <c r="C84" s="209" t="str">
        <f>IFERROR(VLOOKUP($B84,'Institution Evaluation'!$A$55:$F$345,2,0),IFERROR(VLOOKUP($B84,'Privacy Analyst Evaluation'!$A$46:$F$120,2,0),""))&amp;""</f>
        <v>Do you have a current, executed within the past year, Attestation of Compliance (AoC) or Report on Compliance (RoC)?*</v>
      </c>
      <c r="D84" s="209" t="str">
        <f>IFERROR(VLOOKUP($B84,'Institution Evaluation'!$A$55:$F$345,3,0),IFERROR(VLOOKUP($B84,'Privacy Analyst Evaluation'!$A$46:$F$120,3,0),""))&amp;""</f>
        <v/>
      </c>
      <c r="E84" s="209" t="str">
        <f>IFERROR(VLOOKUP($B84,'Institution Evaluation'!$A$55:$F$345,4,0),IFERROR(VLOOKUP($B84,'Privacy Analyst Evaluation'!$A$46:$F$120,4,0),""))&amp;""</f>
        <v/>
      </c>
      <c r="F84" s="209" t="str">
        <f>IFERROR(VLOOKUP($B84,'Institution Evaluation'!$A$55:$F$345,6,0),IFERROR(VLOOKUP($B84,'Privacy Analyst Evaluation'!$A$46:$F$120,6,0),""))&amp;""</f>
        <v/>
      </c>
      <c r="G84" s="210"/>
      <c r="H84" s="209" t="str">
        <f>IFERROR(IF($H83+1&gt;'(backend scoring)'!$Q$335,"",$H83+1),"")</f>
        <v/>
      </c>
      <c r="I84" s="209" t="str">
        <f>_xlfn.XLOOKUP($H84,'(backend scoring)'!$S$2:$S$333,'(backend scoring)'!$A$2:$A$333,"")</f>
        <v/>
      </c>
      <c r="J84" s="209" t="str">
        <f>IFERROR(VLOOKUP($I84,'Institution Evaluation'!$A$55:$F$345,2,0),IFERROR(VLOOKUP($I84,'Privacy Analyst Evaluation'!$A$46:$F$120,2,0),""))</f>
        <v/>
      </c>
      <c r="K84" s="209" t="str">
        <f>IFERROR(VLOOKUP($I84,'Institution Evaluation'!$A$55:$F$345,3,0),IFERROR(VLOOKUP($I84,'Privacy Analyst Evaluation'!$A$46:$F$120,3,0),""))&amp;""</f>
        <v/>
      </c>
      <c r="L84" s="209" t="str">
        <f>IFERROR(VLOOKUP($I84,'Institution Evaluation'!$A$55:$F$345,4,0),IFERROR(VLOOKUP($I84,'Privacy Analyst Evaluation'!$A$46:$F$120,4,0),""))&amp;""</f>
        <v/>
      </c>
      <c r="M84" s="209" t="str">
        <f>IFERROR(VLOOKUP($I84,'Institution Evaluation'!$A$55:$F$345,6,0),IFERROR(VLOOKUP($I84,'Privacy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60" x14ac:dyDescent="0.2">
      <c r="A85" s="209">
        <f>IFERROR(IF($A84+1&gt;'(backend scoring)'!$T$335,"",$A84+1),"")</f>
        <v>61</v>
      </c>
      <c r="B85" s="209" t="str">
        <f>_xlfn.XLOOKUP($A85,'(backend scoring)'!$V$2:$V$333,'(backend scoring)'!$A$2:$A$333,"")</f>
        <v>PCID-02</v>
      </c>
      <c r="C85" s="209" t="str">
        <f>IFERROR(VLOOKUP($B85,'Institution Evaluation'!$A$55:$F$345,2,0),IFERROR(VLOOKUP($B85,'Privacy Analyst Evaluation'!$A$46:$F$120,2,0),""))&amp;""</f>
        <v>Is the application listed as an approved Payment Application Data Security Standard (PA-DSS) application?*</v>
      </c>
      <c r="D85" s="209" t="str">
        <f>IFERROR(VLOOKUP($B85,'Institution Evaluation'!$A$55:$F$345,3,0),IFERROR(VLOOKUP($B85,'Privacy Analyst Evaluation'!$A$46:$F$120,3,0),""))&amp;""</f>
        <v/>
      </c>
      <c r="E85" s="209" t="str">
        <f>IFERROR(VLOOKUP($B85,'Institution Evaluation'!$A$55:$F$345,4,0),IFERROR(VLOOKUP($B85,'Privacy Analyst Evaluation'!$A$46:$F$120,4,0),""))&amp;""</f>
        <v/>
      </c>
      <c r="F85" s="209" t="str">
        <f>IFERROR(VLOOKUP($B85,'Institution Evaluation'!$A$55:$F$345,6,0),IFERROR(VLOOKUP($B85,'Privacy Analyst Evaluation'!$A$46:$F$120,6,0),""))&amp;""</f>
        <v/>
      </c>
      <c r="G85" s="210"/>
      <c r="H85" s="209" t="str">
        <f>IFERROR(IF($H84+1&gt;'(backend scoring)'!$Q$335,"",$H84+1),"")</f>
        <v/>
      </c>
      <c r="I85" s="209" t="str">
        <f>_xlfn.XLOOKUP($H85,'(backend scoring)'!$S$2:$S$333,'(backend scoring)'!$A$2:$A$333,"")</f>
        <v/>
      </c>
      <c r="J85" s="209" t="str">
        <f>IFERROR(VLOOKUP($I85,'Institution Evaluation'!$A$55:$F$345,2,0),IFERROR(VLOOKUP($I85,'Privacy Analyst Evaluation'!$A$46:$F$120,2,0),""))</f>
        <v/>
      </c>
      <c r="K85" s="209" t="str">
        <f>IFERROR(VLOOKUP($I85,'Institution Evaluation'!$A$55:$F$345,3,0),IFERROR(VLOOKUP($I85,'Privacy Analyst Evaluation'!$A$46:$F$120,3,0),""))&amp;""</f>
        <v/>
      </c>
      <c r="L85" s="209" t="str">
        <f>IFERROR(VLOOKUP($I85,'Institution Evaluation'!$A$55:$F$345,4,0),IFERROR(VLOOKUP($I85,'Privacy Analyst Evaluation'!$A$46:$F$120,4,0),""))&amp;""</f>
        <v/>
      </c>
      <c r="M85" s="209" t="str">
        <f>IFERROR(VLOOKUP($I85,'Institution Evaluation'!$A$55:$F$345,6,0),IFERROR(VLOOKUP($I85,'Privacy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90" x14ac:dyDescent="0.2">
      <c r="A86" s="209">
        <f>IFERROR(IF($A85+1&gt;'(backend scoring)'!$T$335,"",$A85+1),"")</f>
        <v>62</v>
      </c>
      <c r="B86" s="209" t="str">
        <f>_xlfn.XLOOKUP($A86,'(backend scoring)'!$V$2:$V$333,'(backend scoring)'!$A$2:$A$333,"")</f>
        <v>PCID-03</v>
      </c>
      <c r="C86" s="209" t="str">
        <f>IFERROR(VLOOKUP($B86,'Institution Evaluation'!$A$55:$F$345,2,0),IFERROR(VLOOKUP($B86,'Privacy Analyst Evaluation'!$A$46:$F$120,2,0),""))&amp;""</f>
        <v>Does the system or solutions use a third party to collect, store, process, or transmit cardholder (payment/credit/debt card) data?*</v>
      </c>
      <c r="D86" s="209" t="str">
        <f>IFERROR(VLOOKUP($B86,'Institution Evaluation'!$A$55:$F$345,3,0),IFERROR(VLOOKUP($B86,'Privacy Analyst Evaluation'!$A$46:$F$120,3,0),""))&amp;""</f>
        <v/>
      </c>
      <c r="E86" s="209" t="str">
        <f>IFERROR(VLOOKUP($B86,'Institution Evaluation'!$A$55:$F$345,4,0),IFERROR(VLOOKUP($B86,'Privacy Analyst Evaluation'!$A$46:$F$120,4,0),""))&amp;""</f>
        <v/>
      </c>
      <c r="F86" s="209" t="str">
        <f>IFERROR(VLOOKUP($B86,'Institution Evaluation'!$A$55:$F$345,6,0),IFERROR(VLOOKUP($B86,'Privacy Analyst Evaluation'!$A$46:$F$120,6,0),""))&amp;""</f>
        <v/>
      </c>
      <c r="G86" s="210"/>
      <c r="H86" s="209" t="str">
        <f>IFERROR(IF($H85+1&gt;'(backend scoring)'!$Q$335,"",$H85+1),"")</f>
        <v/>
      </c>
      <c r="I86" s="209" t="str">
        <f>_xlfn.XLOOKUP($H86,'(backend scoring)'!$S$2:$S$333,'(backend scoring)'!$A$2:$A$333,"")</f>
        <v/>
      </c>
      <c r="J86" s="209" t="str">
        <f>IFERROR(VLOOKUP($I86,'Institution Evaluation'!$A$55:$F$345,2,0),IFERROR(VLOOKUP($I86,'Privacy Analyst Evaluation'!$A$46:$F$120,2,0),""))</f>
        <v/>
      </c>
      <c r="K86" s="209" t="str">
        <f>IFERROR(VLOOKUP($I86,'Institution Evaluation'!$A$55:$F$345,3,0),IFERROR(VLOOKUP($I86,'Privacy Analyst Evaluation'!$A$46:$F$120,3,0),""))&amp;""</f>
        <v/>
      </c>
      <c r="L86" s="209" t="str">
        <f>IFERROR(VLOOKUP($I86,'Institution Evaluation'!$A$55:$F$345,4,0),IFERROR(VLOOKUP($I86,'Privacy Analyst Evaluation'!$A$46:$F$120,4,0),""))&amp;""</f>
        <v/>
      </c>
      <c r="M86" s="209" t="str">
        <f>IFERROR(VLOOKUP($I86,'Institution Evaluation'!$A$55:$F$345,6,0),IFERROR(VLOOKUP($I86,'Privacy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105" x14ac:dyDescent="0.2">
      <c r="A87" s="209">
        <f>IFERROR(IF($A86+1&gt;'(backend scoring)'!$T$335,"",$A86+1),"")</f>
        <v>63</v>
      </c>
      <c r="B87" s="209" t="str">
        <f>_xlfn.XLOOKUP($A87,'(backend scoring)'!$V$2:$V$333,'(backend scoring)'!$A$2:$A$333,"")</f>
        <v>PCOM-01</v>
      </c>
      <c r="C87" s="209" t="str">
        <f>IFERROR(VLOOKUP($B87,'Institution Evaluation'!$A$55:$F$345,2,0),IFERROR(VLOOKUP($B87,'Privacy Analyst Evaluation'!$A$46:$F$120,2,0),""))&amp;""</f>
        <v>Have you had a personal data breach in the past three years that involved reporting to a governmental agency, notice to individuals (including voluntary notice), or notice to another organization or institution?*</v>
      </c>
      <c r="D87" s="209" t="str">
        <f>IFERROR(VLOOKUP($B87,'Institution Evaluation'!$A$55:$F$345,3,0),IFERROR(VLOOKUP($B87,'Privacy Analyst Evaluation'!$A$46:$F$120,3,0),""))&amp;""</f>
        <v/>
      </c>
      <c r="E87" s="209" t="str">
        <f>IFERROR(VLOOKUP($B87,'Institution Evaluation'!$A$55:$F$345,4,0),IFERROR(VLOOKUP($B87,'Privacy Analyst Evaluation'!$A$46:$F$120,4,0),""))&amp;""</f>
        <v/>
      </c>
      <c r="F87" s="209" t="str">
        <f>IFERROR(VLOOKUP($B87,'Institution Evaluation'!$A$55:$F$345,6,0),IFERROR(VLOOKUP($B87,'Privacy Analyst Evaluation'!$A$46:$F$120,6,0),""))&amp;""</f>
        <v/>
      </c>
      <c r="G87" s="210"/>
      <c r="H87" s="209" t="str">
        <f>IFERROR(IF($H86+1&gt;'(backend scoring)'!$Q$335,"",$H86+1),"")</f>
        <v/>
      </c>
      <c r="I87" s="209" t="str">
        <f>_xlfn.XLOOKUP($H87,'(backend scoring)'!$S$2:$S$333,'(backend scoring)'!$A$2:$A$333,"")</f>
        <v/>
      </c>
      <c r="J87" s="209" t="str">
        <f>IFERROR(VLOOKUP($I87,'Institution Evaluation'!$A$55:$F$345,2,0),IFERROR(VLOOKUP($I87,'Privacy Analyst Evaluation'!$A$46:$F$120,2,0),""))</f>
        <v/>
      </c>
      <c r="K87" s="209" t="str">
        <f>IFERROR(VLOOKUP($I87,'Institution Evaluation'!$A$55:$F$345,3,0),IFERROR(VLOOKUP($I87,'Privacy Analyst Evaluation'!$A$46:$F$120,3,0),""))&amp;""</f>
        <v/>
      </c>
      <c r="L87" s="209" t="str">
        <f>IFERROR(VLOOKUP($I87,'Institution Evaluation'!$A$55:$F$345,4,0),IFERROR(VLOOKUP($I87,'Privacy Analyst Evaluation'!$A$46:$F$120,4,0),""))&amp;""</f>
        <v/>
      </c>
      <c r="M87" s="209" t="str">
        <f>IFERROR(VLOOKUP($I87,'Institution Evaluation'!$A$55:$F$345,6,0),IFERROR(VLOOKUP($I87,'Privacy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75" x14ac:dyDescent="0.2">
      <c r="A88" s="209">
        <f>IFERROR(IF($A87+1&gt;'(backend scoring)'!$T$335,"",$A87+1),"")</f>
        <v>64</v>
      </c>
      <c r="B88" s="209" t="str">
        <f>_xlfn.XLOOKUP($A88,'(backend scoring)'!$V$2:$V$333,'(backend scoring)'!$A$2:$A$333,"")</f>
        <v>PTHP-01</v>
      </c>
      <c r="C88" s="209" t="str">
        <f>IFERROR(VLOOKUP($B88,'Institution Evaluation'!$A$55:$F$345,2,0),IFERROR(VLOOKUP($B88,'Privacy Analyst Evaluation'!$A$46:$F$120,2,0),""))&amp;""</f>
        <v>Do you have contractual agreements with third parties that require them to maintain standards and to comply with all regulatory requirements?*</v>
      </c>
      <c r="D88" s="209" t="str">
        <f>IFERROR(VLOOKUP($B88,'Institution Evaluation'!$A$55:$F$345,3,0),IFERROR(VLOOKUP($B88,'Privacy Analyst Evaluation'!$A$46:$F$120,3,0),""))&amp;""</f>
        <v/>
      </c>
      <c r="E88" s="209" t="str">
        <f>IFERROR(VLOOKUP($B88,'Institution Evaluation'!$A$55:$F$345,4,0),IFERROR(VLOOKUP($B88,'Privacy Analyst Evaluation'!$A$46:$F$120,4,0),""))&amp;""</f>
        <v/>
      </c>
      <c r="F88" s="209" t="str">
        <f>IFERROR(VLOOKUP($B88,'Institution Evaluation'!$A$55:$F$345,6,0),IFERROR(VLOOKUP($B88,'Privacy Analyst Evaluation'!$A$46:$F$120,6,0),""))&amp;""</f>
        <v/>
      </c>
      <c r="G88" s="210"/>
      <c r="H88" s="209" t="str">
        <f>IFERROR(IF($H87+1&gt;'(backend scoring)'!$Q$335,"",$H87+1),"")</f>
        <v/>
      </c>
      <c r="I88" s="209" t="str">
        <f>_xlfn.XLOOKUP($H88,'(backend scoring)'!$S$2:$S$333,'(backend scoring)'!$A$2:$A$333,"")</f>
        <v/>
      </c>
      <c r="J88" s="209" t="str">
        <f>IFERROR(VLOOKUP($I88,'Institution Evaluation'!$A$55:$F$345,2,0),IFERROR(VLOOKUP($I88,'Privacy Analyst Evaluation'!$A$46:$F$120,2,0),""))</f>
        <v/>
      </c>
      <c r="K88" s="209" t="str">
        <f>IFERROR(VLOOKUP($I88,'Institution Evaluation'!$A$55:$F$345,3,0),IFERROR(VLOOKUP($I88,'Privacy Analyst Evaluation'!$A$46:$F$120,3,0),""))&amp;""</f>
        <v/>
      </c>
      <c r="L88" s="209" t="str">
        <f>IFERROR(VLOOKUP($I88,'Institution Evaluation'!$A$55:$F$345,4,0),IFERROR(VLOOKUP($I88,'Privacy Analyst Evaluation'!$A$46:$F$120,4,0),""))&amp;""</f>
        <v/>
      </c>
      <c r="M88" s="209" t="str">
        <f>IFERROR(VLOOKUP($I88,'Institution Evaluation'!$A$55:$F$345,6,0),IFERROR(VLOOKUP($I88,'Privacy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45" x14ac:dyDescent="0.2">
      <c r="A89" s="209">
        <f>IFERROR(IF($A88+1&gt;'(backend scoring)'!$T$335,"",$A88+1),"")</f>
        <v>65</v>
      </c>
      <c r="B89" s="209" t="str">
        <f>_xlfn.XLOOKUP($A89,'(backend scoring)'!$V$2:$V$333,'(backend scoring)'!$A$2:$A$333,"")</f>
        <v>PDAT-01</v>
      </c>
      <c r="C89" s="209" t="str">
        <f>IFERROR(VLOOKUP($B89,'Institution Evaluation'!$A$55:$F$345,2,0),IFERROR(VLOOKUP($B89,'Privacy Analyst Evaluation'!$A$46:$F$120,2,0),""))&amp;""</f>
        <v>Do you collect, process, or store demographic information?*</v>
      </c>
      <c r="D89" s="209" t="str">
        <f>IFERROR(VLOOKUP($B89,'Institution Evaluation'!$A$55:$F$345,3,0),IFERROR(VLOOKUP($B89,'Privacy Analyst Evaluation'!$A$46:$F$120,3,0),""))&amp;""</f>
        <v/>
      </c>
      <c r="E89" s="209" t="str">
        <f>IFERROR(VLOOKUP($B89,'Institution Evaluation'!$A$55:$F$345,4,0),IFERROR(VLOOKUP($B89,'Privacy Analyst Evaluation'!$A$46:$F$120,4,0),""))&amp;""</f>
        <v/>
      </c>
      <c r="F89" s="209" t="str">
        <f>IFERROR(VLOOKUP($B89,'Institution Evaluation'!$A$55:$F$345,6,0),IFERROR(VLOOKUP($B89,'Privacy Analyst Evaluation'!$A$46:$F$120,6,0),""))&amp;""</f>
        <v/>
      </c>
      <c r="G89" s="210"/>
      <c r="H89" s="209" t="str">
        <f>IFERROR(IF($H88+1&gt;'(backend scoring)'!$Q$335,"",$H88+1),"")</f>
        <v/>
      </c>
      <c r="I89" s="209" t="str">
        <f>_xlfn.XLOOKUP($H89,'(backend scoring)'!$S$2:$S$333,'(backend scoring)'!$A$2:$A$333,"")</f>
        <v/>
      </c>
      <c r="J89" s="209" t="str">
        <f>IFERROR(VLOOKUP($I89,'Institution Evaluation'!$A$55:$F$345,2,0),IFERROR(VLOOKUP($I89,'Privacy Analyst Evaluation'!$A$46:$F$120,2,0),""))</f>
        <v/>
      </c>
      <c r="K89" s="209" t="str">
        <f>IFERROR(VLOOKUP($I89,'Institution Evaluation'!$A$55:$F$345,3,0),IFERROR(VLOOKUP($I89,'Privacy Analyst Evaluation'!$A$46:$F$120,3,0),""))&amp;""</f>
        <v/>
      </c>
      <c r="L89" s="209" t="str">
        <f>IFERROR(VLOOKUP($I89,'Institution Evaluation'!$A$55:$F$345,4,0),IFERROR(VLOOKUP($I89,'Privacy Analyst Evaluation'!$A$46:$F$120,4,0),""))&amp;""</f>
        <v/>
      </c>
      <c r="M89" s="209" t="str">
        <f>IFERROR(VLOOKUP($I89,'Institution Evaluation'!$A$55:$F$345,6,0),IFERROR(VLOOKUP($I89,'Privacy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75" x14ac:dyDescent="0.2">
      <c r="A90" s="209">
        <f>IFERROR(IF($A89+1&gt;'(backend scoring)'!$T$335,"",$A89+1),"")</f>
        <v>66</v>
      </c>
      <c r="B90" s="209" t="str">
        <f>_xlfn.XLOOKUP($A90,'(backend scoring)'!$V$2:$V$333,'(backend scoring)'!$A$2:$A$333,"")</f>
        <v>PDAT-02</v>
      </c>
      <c r="C90" s="209" t="str">
        <f>IFERROR(VLOOKUP($B90,'Institution Evaluation'!$A$55:$F$345,2,0),IFERROR(VLOOKUP($B90,'Privacy Analyst Evaluation'!$A$46:$F$120,2,0),""))&amp;""</f>
        <v>Do you capture or create genetic, biometric, or behaviometric information (e.g., facial recognition or fingerprints)?*</v>
      </c>
      <c r="D90" s="209" t="str">
        <f>IFERROR(VLOOKUP($B90,'Institution Evaluation'!$A$55:$F$345,3,0),IFERROR(VLOOKUP($B90,'Privacy Analyst Evaluation'!$A$46:$F$120,3,0),""))&amp;""</f>
        <v/>
      </c>
      <c r="E90" s="209" t="str">
        <f>IFERROR(VLOOKUP($B90,'Institution Evaluation'!$A$55:$F$345,4,0),IFERROR(VLOOKUP($B90,'Privacy Analyst Evaluation'!$A$46:$F$120,4,0),""))&amp;""</f>
        <v/>
      </c>
      <c r="F90" s="209" t="str">
        <f>IFERROR(VLOOKUP($B90,'Institution Evaluation'!$A$55:$F$345,6,0),IFERROR(VLOOKUP($B90,'Privacy Analyst Evaluation'!$A$46:$F$120,6,0),""))&amp;""</f>
        <v/>
      </c>
      <c r="G90" s="210"/>
      <c r="H90" s="209" t="str">
        <f>IFERROR(IF($H89+1&gt;'(backend scoring)'!$Q$335,"",$H89+1),"")</f>
        <v/>
      </c>
      <c r="I90" s="209" t="str">
        <f>_xlfn.XLOOKUP($H90,'(backend scoring)'!$S$2:$S$333,'(backend scoring)'!$A$2:$A$333,"")</f>
        <v/>
      </c>
      <c r="J90" s="209" t="str">
        <f>IFERROR(VLOOKUP($I90,'Institution Evaluation'!$A$55:$F$345,2,0),IFERROR(VLOOKUP($I90,'Privacy Analyst Evaluation'!$A$46:$F$120,2,0),""))</f>
        <v/>
      </c>
      <c r="K90" s="209" t="str">
        <f>IFERROR(VLOOKUP($I90,'Institution Evaluation'!$A$55:$F$345,3,0),IFERROR(VLOOKUP($I90,'Privacy Analyst Evaluation'!$A$46:$F$120,3,0),""))&amp;""</f>
        <v/>
      </c>
      <c r="L90" s="209" t="str">
        <f>IFERROR(VLOOKUP($I90,'Institution Evaluation'!$A$55:$F$345,4,0),IFERROR(VLOOKUP($I90,'Privacy Analyst Evaluation'!$A$46:$F$120,4,0),""))&amp;""</f>
        <v/>
      </c>
      <c r="M90" s="209" t="str">
        <f>IFERROR(VLOOKUP($I90,'Institution Evaluation'!$A$55:$F$345,6,0),IFERROR(VLOOKUP($I90,'Privacy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x14ac:dyDescent="0.2">
      <c r="A91" s="209">
        <f>IFERROR(IF($A90+1&gt;'(backend scoring)'!$T$335,"",$A90+1),"")</f>
        <v>67</v>
      </c>
      <c r="B91" s="209" t="str">
        <f>_xlfn.XLOOKUP($A91,'(backend scoring)'!$V$2:$V$333,'(backend scoring)'!$A$2:$A$333,"")</f>
        <v>PDAT-03</v>
      </c>
      <c r="C91" s="209" t="str">
        <f>IFERROR(VLOOKUP($B91,'Institution Evaluation'!$A$55:$F$345,2,0),IFERROR(VLOOKUP($B91,'Privacy Analyst Evaluation'!$A$46:$F$120,2,0),""))&amp;""</f>
        <v>Do you combine institutional data (including "de-identified," "anonymized," or otherwise masked data) with personal data from any other sources?*</v>
      </c>
      <c r="D91" s="209" t="str">
        <f>IFERROR(VLOOKUP($B91,'Institution Evaluation'!$A$55:$F$345,3,0),IFERROR(VLOOKUP($B91,'Privacy Analyst Evaluation'!$A$46:$F$120,3,0),""))&amp;""</f>
        <v/>
      </c>
      <c r="E91" s="209" t="str">
        <f>IFERROR(VLOOKUP($B91,'Institution Evaluation'!$A$55:$F$345,4,0),IFERROR(VLOOKUP($B91,'Privacy Analyst Evaluation'!$A$46:$F$120,4,0),""))&amp;""</f>
        <v/>
      </c>
      <c r="F91" s="209" t="str">
        <f>IFERROR(VLOOKUP($B91,'Institution Evaluation'!$A$55:$F$345,6,0),IFERROR(VLOOKUP($B91,'Privacy Analyst Evaluation'!$A$46:$F$120,6,0),""))&amp;""</f>
        <v/>
      </c>
      <c r="G91" s="210"/>
      <c r="H91" s="209" t="str">
        <f>IFERROR(IF($H90+1&gt;'(backend scoring)'!$Q$335,"",$H90+1),"")</f>
        <v/>
      </c>
      <c r="I91" s="209" t="str">
        <f>_xlfn.XLOOKUP($H91,'(backend scoring)'!$S$2:$S$333,'(backend scoring)'!$A$2:$A$333,"")</f>
        <v/>
      </c>
      <c r="J91" s="209" t="str">
        <f>IFERROR(VLOOKUP($I91,'Institution Evaluation'!$A$55:$F$345,2,0),IFERROR(VLOOKUP($I91,'Privacy Analyst Evaluation'!$A$46:$F$120,2,0),""))</f>
        <v/>
      </c>
      <c r="K91" s="209" t="str">
        <f>IFERROR(VLOOKUP($I91,'Institution Evaluation'!$A$55:$F$345,3,0),IFERROR(VLOOKUP($I91,'Privacy Analyst Evaluation'!$A$46:$F$120,3,0),""))&amp;""</f>
        <v/>
      </c>
      <c r="L91" s="209" t="str">
        <f>IFERROR(VLOOKUP($I91,'Institution Evaluation'!$A$55:$F$345,4,0),IFERROR(VLOOKUP($I91,'Privacy Analyst Evaluation'!$A$46:$F$120,4,0),""))&amp;""</f>
        <v/>
      </c>
      <c r="M91" s="209" t="str">
        <f>IFERROR(VLOOKUP($I91,'Institution Evaluation'!$A$55:$F$345,6,0),IFERROR(VLOOKUP($I91,'Privacy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0" x14ac:dyDescent="0.2">
      <c r="A92" s="209">
        <f>IFERROR(IF($A91+1&gt;'(backend scoring)'!$T$335,"",$A91+1),"")</f>
        <v>68</v>
      </c>
      <c r="B92" s="209" t="str">
        <f>_xlfn.XLOOKUP($A92,'(backend scoring)'!$V$2:$V$333,'(backend scoring)'!$A$2:$A$333,"")</f>
        <v>PRPO-06</v>
      </c>
      <c r="C92" s="209" t="str">
        <f>IFERROR(VLOOKUP($B92,'Institution Evaluation'!$A$55:$F$345,2,0),IFERROR(VLOOKUP($B92,'Privacy Analyst Evaluation'!$A$46:$F$120,2,0),""))&amp;""</f>
        <v>Do you have a privacy awareness/training program?*</v>
      </c>
      <c r="D92" s="209" t="str">
        <f>IFERROR(VLOOKUP($B92,'Institution Evaluation'!$A$55:$F$345,3,0),IFERROR(VLOOKUP($B92,'Privacy Analyst Evaluation'!$A$46:$F$120,3,0),""))&amp;""</f>
        <v/>
      </c>
      <c r="E92" s="209" t="str">
        <f>IFERROR(VLOOKUP($B92,'Institution Evaluation'!$A$55:$F$345,4,0),IFERROR(VLOOKUP($B92,'Privacy Analyst Evaluation'!$A$46:$F$120,4,0),""))&amp;""</f>
        <v/>
      </c>
      <c r="F92" s="209" t="str">
        <f>IFERROR(VLOOKUP($B92,'Institution Evaluation'!$A$55:$F$345,6,0),IFERROR(VLOOKUP($B92,'Privacy Analyst Evaluation'!$A$46:$F$120,6,0),""))&amp;""</f>
        <v/>
      </c>
      <c r="G92" s="210"/>
      <c r="H92" s="209" t="str">
        <f>IFERROR(IF($H91+1&gt;'(backend scoring)'!$Q$335,"",$H91+1),"")</f>
        <v/>
      </c>
      <c r="I92" s="209" t="str">
        <f>_xlfn.XLOOKUP($H92,'(backend scoring)'!$S$2:$S$333,'(backend scoring)'!$A$2:$A$333,"")</f>
        <v/>
      </c>
      <c r="J92" s="209" t="str">
        <f>IFERROR(VLOOKUP($I92,'Institution Evaluation'!$A$55:$F$345,2,0),IFERROR(VLOOKUP($I92,'Privacy Analyst Evaluation'!$A$46:$F$120,2,0),""))</f>
        <v/>
      </c>
      <c r="K92" s="209" t="str">
        <f>IFERROR(VLOOKUP($I92,'Institution Evaluation'!$A$55:$F$345,3,0),IFERROR(VLOOKUP($I92,'Privacy Analyst Evaluation'!$A$46:$F$120,3,0),""))&amp;""</f>
        <v/>
      </c>
      <c r="L92" s="209" t="str">
        <f>IFERROR(VLOOKUP($I92,'Institution Evaluation'!$A$55:$F$345,4,0),IFERROR(VLOOKUP($I92,'Privacy Analyst Evaluation'!$A$46:$F$120,4,0),""))&amp;""</f>
        <v/>
      </c>
      <c r="M92" s="209" t="str">
        <f>IFERROR(VLOOKUP($I92,'Institution Evaluation'!$A$55:$F$345,6,0),IFERROR(VLOOKUP($I92,'Privacy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60" x14ac:dyDescent="0.2">
      <c r="A93" s="209">
        <f>IFERROR(IF($A92+1&gt;'(backend scoring)'!$T$335,"",$A92+1),"")</f>
        <v>69</v>
      </c>
      <c r="B93" s="209" t="str">
        <f>_xlfn.XLOOKUP($A93,'(backend scoring)'!$V$2:$V$333,'(backend scoring)'!$A$2:$A$333,"")</f>
        <v>PRPO-12</v>
      </c>
      <c r="C93" s="209" t="str">
        <f>IFERROR(VLOOKUP($B93,'Institution Evaluation'!$A$55:$F$345,2,0),IFERROR(VLOOKUP($B93,'Privacy Analyst Evaluation'!$A$46:$F$120,2,0),""))&amp;""</f>
        <v>Do you share any institutional data with law enforcement without a valid warrant or subpoena?*</v>
      </c>
      <c r="D93" s="209" t="str">
        <f>IFERROR(VLOOKUP($B93,'Institution Evaluation'!$A$55:$F$345,3,0),IFERROR(VLOOKUP($B93,'Privacy Analyst Evaluation'!$A$46:$F$120,3,0),""))&amp;""</f>
        <v/>
      </c>
      <c r="E93" s="209" t="str">
        <f>IFERROR(VLOOKUP($B93,'Institution Evaluation'!$A$55:$F$345,4,0),IFERROR(VLOOKUP($B93,'Privacy Analyst Evaluation'!$A$46:$F$120,4,0),""))&amp;""</f>
        <v/>
      </c>
      <c r="F93" s="209" t="str">
        <f>IFERROR(VLOOKUP($B93,'Institution Evaluation'!$A$55:$F$345,6,0),IFERROR(VLOOKUP($B93,'Privacy Analyst Evaluation'!$A$46:$F$120,6,0),""))&amp;""</f>
        <v/>
      </c>
      <c r="G93" s="210"/>
      <c r="H93" s="209" t="str">
        <f>IFERROR(IF($H92+1&gt;'(backend scoring)'!$Q$335,"",$H92+1),"")</f>
        <v/>
      </c>
      <c r="I93" s="209" t="str">
        <f>_xlfn.XLOOKUP($H93,'(backend scoring)'!$S$2:$S$333,'(backend scoring)'!$A$2:$A$333,"")</f>
        <v/>
      </c>
      <c r="J93" s="209" t="str">
        <f>IFERROR(VLOOKUP($I93,'Institution Evaluation'!$A$55:$F$345,2,0),IFERROR(VLOOKUP($I93,'Privacy Analyst Evaluation'!$A$46:$F$120,2,0),""))</f>
        <v/>
      </c>
      <c r="K93" s="209" t="str">
        <f>IFERROR(VLOOKUP($I93,'Institution Evaluation'!$A$55:$F$345,3,0),IFERROR(VLOOKUP($I93,'Privacy Analyst Evaluation'!$A$46:$F$120,3,0),""))&amp;""</f>
        <v/>
      </c>
      <c r="L93" s="209" t="str">
        <f>IFERROR(VLOOKUP($I93,'Institution Evaluation'!$A$55:$F$345,4,0),IFERROR(VLOOKUP($I93,'Privacy Analyst Evaluation'!$A$46:$F$120,4,0),""))&amp;""</f>
        <v/>
      </c>
      <c r="M93" s="209" t="str">
        <f>IFERROR(VLOOKUP($I93,'Institution Evaluation'!$A$55:$F$345,6,0),IFERROR(VLOOKUP($I93,'Privacy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30" x14ac:dyDescent="0.2">
      <c r="A94" s="209">
        <f>IFERROR(IF($A93+1&gt;'(backend scoring)'!$T$335,"",$A93+1),"")</f>
        <v>70</v>
      </c>
      <c r="B94" s="209" t="str">
        <f>_xlfn.XLOOKUP($A94,'(backend scoring)'!$V$2:$V$333,'(backend scoring)'!$A$2:$A$333,"")</f>
        <v>DPAI-02</v>
      </c>
      <c r="C94" s="209" t="str">
        <f>IFERROR(VLOOKUP($B94,'Institution Evaluation'!$A$55:$F$345,2,0),IFERROR(VLOOKUP($B94,'Privacy Analyst Evaluation'!$A$46:$F$120,2,0),""))&amp;""</f>
        <v>Is any institutional data retained in AI processing?*</v>
      </c>
      <c r="D94" s="209" t="str">
        <f>IFERROR(VLOOKUP($B94,'Institution Evaluation'!$A$55:$F$345,3,0),IFERROR(VLOOKUP($B94,'Privacy Analyst Evaluation'!$A$46:$F$120,3,0),""))&amp;""</f>
        <v/>
      </c>
      <c r="E94" s="209" t="str">
        <f>IFERROR(VLOOKUP($B94,'Institution Evaluation'!$A$55:$F$345,4,0),IFERROR(VLOOKUP($B94,'Privacy Analyst Evaluation'!$A$46:$F$120,4,0),""))&amp;""</f>
        <v/>
      </c>
      <c r="F94" s="209" t="str">
        <f>IFERROR(VLOOKUP($B94,'Institution Evaluation'!$A$55:$F$345,6,0),IFERROR(VLOOKUP($B94,'Privacy Analyst Evaluation'!$A$46:$F$120,6,0),""))&amp;""</f>
        <v/>
      </c>
      <c r="G94" s="210"/>
      <c r="H94" s="209" t="str">
        <f>IFERROR(IF($H93+1&gt;'(backend scoring)'!$Q$335,"",$H93+1),"")</f>
        <v/>
      </c>
      <c r="I94" s="209" t="str">
        <f>_xlfn.XLOOKUP($H94,'(backend scoring)'!$S$2:$S$333,'(backend scoring)'!$A$2:$A$333,"")</f>
        <v/>
      </c>
      <c r="J94" s="209" t="str">
        <f>IFERROR(VLOOKUP($I94,'Institution Evaluation'!$A$55:$F$345,2,0),IFERROR(VLOOKUP($I94,'Privacy Analyst Evaluation'!$A$46:$F$120,2,0),""))</f>
        <v/>
      </c>
      <c r="K94" s="209" t="str">
        <f>IFERROR(VLOOKUP($I94,'Institution Evaluation'!$A$55:$F$345,3,0),IFERROR(VLOOKUP($I94,'Privacy Analyst Evaluation'!$A$46:$F$120,3,0),""))&amp;""</f>
        <v/>
      </c>
      <c r="L94" s="209" t="str">
        <f>IFERROR(VLOOKUP($I94,'Institution Evaluation'!$A$55:$F$345,4,0),IFERROR(VLOOKUP($I94,'Privacy Analyst Evaluation'!$A$46:$F$120,4,0),""))&amp;""</f>
        <v/>
      </c>
      <c r="M94" s="209" t="str">
        <f>IFERROR(VLOOKUP($I94,'Institution Evaluation'!$A$55:$F$345,6,0),IFERROR(VLOOKUP($I94,'Privacy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75" x14ac:dyDescent="0.2">
      <c r="A95" s="209">
        <f>IFERROR(IF($A94+1&gt;'(backend scoring)'!$T$335,"",$A94+1),"")</f>
        <v>71</v>
      </c>
      <c r="B95" s="209" t="str">
        <f>_xlfn.XLOOKUP($A95,'(backend scoring)'!$V$2:$V$333,'(backend scoring)'!$A$2:$A$333,"")</f>
        <v>DPAI-03</v>
      </c>
      <c r="C95" s="209" t="str">
        <f>IFERROR(VLOOKUP($B95,'Institution Evaluation'!$A$55:$F$345,2,0),IFERROR(VLOOKUP($B95,'Privacy Analyst Evaluation'!$A$46:$F$120,2,0),""))&amp;""</f>
        <v>Do you have agreements in place with third parties or subprocessors regarding the protection of customer data and use of AI?*</v>
      </c>
      <c r="D95" s="209" t="str">
        <f>IFERROR(VLOOKUP($B95,'Institution Evaluation'!$A$55:$F$345,3,0),IFERROR(VLOOKUP($B95,'Privacy Analyst Evaluation'!$A$46:$F$120,3,0),""))&amp;""</f>
        <v/>
      </c>
      <c r="E95" s="209" t="str">
        <f>IFERROR(VLOOKUP($B95,'Institution Evaluation'!$A$55:$F$345,4,0),IFERROR(VLOOKUP($B95,'Privacy Analyst Evaluation'!$A$46:$F$120,4,0),""))&amp;""</f>
        <v/>
      </c>
      <c r="F95" s="209" t="str">
        <f>IFERROR(VLOOKUP($B95,'Institution Evaluation'!$A$55:$F$345,6,0),IFERROR(VLOOKUP($B95,'Privacy Analyst Evaluation'!$A$46:$F$120,6,0),""))&amp;""</f>
        <v/>
      </c>
      <c r="G95" s="210"/>
      <c r="H95" s="209" t="str">
        <f>IFERROR(IF($H94+1&gt;'(backend scoring)'!$Q$335,"",$H94+1),"")</f>
        <v/>
      </c>
      <c r="I95" s="209" t="str">
        <f>_xlfn.XLOOKUP($H95,'(backend scoring)'!$S$2:$S$333,'(backend scoring)'!$A$2:$A$333,"")</f>
        <v/>
      </c>
      <c r="J95" s="209" t="str">
        <f>IFERROR(VLOOKUP($I95,'Institution Evaluation'!$A$55:$F$345,2,0),IFERROR(VLOOKUP($I95,'Privacy Analyst Evaluation'!$A$46:$F$120,2,0),""))</f>
        <v/>
      </c>
      <c r="K95" s="209" t="str">
        <f>IFERROR(VLOOKUP($I95,'Institution Evaluation'!$A$55:$F$345,3,0),IFERROR(VLOOKUP($I95,'Privacy Analyst Evaluation'!$A$46:$F$120,3,0),""))&amp;""</f>
        <v/>
      </c>
      <c r="L95" s="209" t="str">
        <f>IFERROR(VLOOKUP($I95,'Institution Evaluation'!$A$55:$F$345,4,0),IFERROR(VLOOKUP($I95,'Privacy Analyst Evaluation'!$A$46:$F$120,4,0),""))&amp;""</f>
        <v/>
      </c>
      <c r="M95" s="209" t="str">
        <f>IFERROR(VLOOKUP($I95,'Institution Evaluation'!$A$55:$F$345,6,0),IFERROR(VLOOKUP($I95,'Privacy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60" x14ac:dyDescent="0.2">
      <c r="A96" s="209">
        <f>IFERROR(IF($A95+1&gt;'(backend scoring)'!$T$335,"",$A95+1),"")</f>
        <v>72</v>
      </c>
      <c r="B96" s="209" t="str">
        <f>_xlfn.XLOOKUP($A96,'(backend scoring)'!$V$2:$V$333,'(backend scoring)'!$A$2:$A$333,"")</f>
        <v>AIGN-01</v>
      </c>
      <c r="C96" s="209" t="str">
        <f>IFERROR(VLOOKUP($B96,'Institution Evaluation'!$A$55:$F$345,2,0),IFERROR(VLOOKUP($B96,'Privacy Analyst Evaluation'!$A$46:$F$120,2,0),""))&amp;""</f>
        <v>Does your solution have an AI risk model when developing or implementing your solution's AI model?*</v>
      </c>
      <c r="D96" s="209" t="str">
        <f>IFERROR(VLOOKUP($B96,'Institution Evaluation'!$A$55:$F$345,3,0),IFERROR(VLOOKUP($B96,'Privacy Analyst Evaluation'!$A$46:$F$120,3,0),""))&amp;""</f>
        <v/>
      </c>
      <c r="E96" s="209" t="str">
        <f>IFERROR(VLOOKUP($B96,'Institution Evaluation'!$A$55:$F$345,4,0),IFERROR(VLOOKUP($B96,'Privacy Analyst Evaluation'!$A$46:$F$120,4,0),""))&amp;""</f>
        <v/>
      </c>
      <c r="F96" s="209" t="str">
        <f>IFERROR(VLOOKUP($B96,'Institution Evaluation'!$A$55:$F$345,6,0),IFERROR(VLOOKUP($B96,'Privacy Analyst Evaluation'!$A$46:$F$120,6,0),""))&amp;""</f>
        <v/>
      </c>
      <c r="G96" s="210"/>
      <c r="H96" s="209" t="str">
        <f>IFERROR(IF($H95+1&gt;'(backend scoring)'!$Q$335,"",$H95+1),"")</f>
        <v/>
      </c>
      <c r="I96" s="209" t="str">
        <f>_xlfn.XLOOKUP($H96,'(backend scoring)'!$S$2:$S$333,'(backend scoring)'!$A$2:$A$333,"")</f>
        <v/>
      </c>
      <c r="J96" s="209" t="str">
        <f>IFERROR(VLOOKUP($I96,'Institution Evaluation'!$A$55:$F$345,2,0),IFERROR(VLOOKUP($I96,'Privacy Analyst Evaluation'!$A$46:$F$120,2,0),""))</f>
        <v/>
      </c>
      <c r="K96" s="209" t="str">
        <f>IFERROR(VLOOKUP($I96,'Institution Evaluation'!$A$55:$F$345,3,0),IFERROR(VLOOKUP($I96,'Privacy Analyst Evaluation'!$A$46:$F$120,3,0),""))&amp;""</f>
        <v/>
      </c>
      <c r="L96" s="209" t="str">
        <f>IFERROR(VLOOKUP($I96,'Institution Evaluation'!$A$55:$F$345,4,0),IFERROR(VLOOKUP($I96,'Privacy Analyst Evaluation'!$A$46:$F$120,4,0),""))&amp;""</f>
        <v/>
      </c>
      <c r="M96" s="209" t="str">
        <f>IFERROR(VLOOKUP($I96,'Institution Evaluation'!$A$55:$F$345,6,0),IFERROR(VLOOKUP($I96,'Privacy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45" x14ac:dyDescent="0.2">
      <c r="A97" s="209">
        <f>IFERROR(IF($A96+1&gt;'(backend scoring)'!$T$335,"",$A96+1),"")</f>
        <v>73</v>
      </c>
      <c r="B97" s="209" t="str">
        <f>_xlfn.XLOOKUP($A97,'(backend scoring)'!$V$2:$V$333,'(backend scoring)'!$A$2:$A$333,"")</f>
        <v>AIGN-02</v>
      </c>
      <c r="C97" s="209" t="str">
        <f>IFERROR(VLOOKUP($B97,'Institution Evaluation'!$A$55:$F$345,2,0),IFERROR(VLOOKUP($B97,'Privacy Analyst Evaluation'!$A$46:$F$120,2,0),""))&amp;""</f>
        <v>Can your solution's AI features be disabled by tenant and/or user?*</v>
      </c>
      <c r="D97" s="209" t="str">
        <f>IFERROR(VLOOKUP($B97,'Institution Evaluation'!$A$55:$F$345,3,0),IFERROR(VLOOKUP($B97,'Privacy Analyst Evaluation'!$A$46:$F$120,3,0),""))&amp;""</f>
        <v/>
      </c>
      <c r="E97" s="209" t="str">
        <f>IFERROR(VLOOKUP($B97,'Institution Evaluation'!$A$55:$F$345,4,0),IFERROR(VLOOKUP($B97,'Privacy Analyst Evaluation'!$A$46:$F$120,4,0),""))&amp;""</f>
        <v/>
      </c>
      <c r="F97" s="209" t="str">
        <f>IFERROR(VLOOKUP($B97,'Institution Evaluation'!$A$55:$F$345,6,0),IFERROR(VLOOKUP($B97,'Privacy Analyst Evaluation'!$A$46:$F$120,6,0),""))&amp;""</f>
        <v/>
      </c>
      <c r="G97" s="210"/>
      <c r="H97" s="209" t="str">
        <f>IFERROR(IF($H96+1&gt;'(backend scoring)'!$Q$335,"",$H96+1),"")</f>
        <v/>
      </c>
      <c r="I97" s="209" t="str">
        <f>_xlfn.XLOOKUP($H97,'(backend scoring)'!$S$2:$S$333,'(backend scoring)'!$A$2:$A$333,"")</f>
        <v/>
      </c>
      <c r="J97" s="209" t="str">
        <f>IFERROR(VLOOKUP($I97,'Institution Evaluation'!$A$55:$F$345,2,0),IFERROR(VLOOKUP($I97,'Privacy Analyst Evaluation'!$A$46:$F$120,2,0),""))</f>
        <v/>
      </c>
      <c r="K97" s="209" t="str">
        <f>IFERROR(VLOOKUP($I97,'Institution Evaluation'!$A$55:$F$345,3,0),IFERROR(VLOOKUP($I97,'Privacy Analyst Evaluation'!$A$46:$F$120,3,0),""))&amp;""</f>
        <v/>
      </c>
      <c r="L97" s="209" t="str">
        <f>IFERROR(VLOOKUP($I97,'Institution Evaluation'!$A$55:$F$345,4,0),IFERROR(VLOOKUP($I97,'Privacy Analyst Evaluation'!$A$46:$F$120,4,0),""))&amp;""</f>
        <v/>
      </c>
      <c r="M97" s="209" t="str">
        <f>IFERROR(VLOOKUP($I97,'Institution Evaluation'!$A$55:$F$345,6,0),IFERROR(VLOOKUP($I97,'Privacy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30" x14ac:dyDescent="0.2">
      <c r="A98" s="209">
        <f>IFERROR(IF($A97+1&gt;'(backend scoring)'!$T$335,"",$A97+1),"")</f>
        <v>74</v>
      </c>
      <c r="B98" s="209" t="str">
        <f>_xlfn.XLOOKUP($A98,'(backend scoring)'!$V$2:$V$333,'(backend scoring)'!$A$2:$A$333,"")</f>
        <v>AIGN-03</v>
      </c>
      <c r="C98" s="209" t="str">
        <f>IFERROR(VLOOKUP($B98,'Institution Evaluation'!$A$55:$F$345,2,0),IFERROR(VLOOKUP($B98,'Privacy Analyst Evaluation'!$A$46:$F$120,2,0),""))&amp;""</f>
        <v>Have your staff completed responsible AI training?*</v>
      </c>
      <c r="D98" s="209" t="str">
        <f>IFERROR(VLOOKUP($B98,'Institution Evaluation'!$A$55:$F$345,3,0),IFERROR(VLOOKUP($B98,'Privacy Analyst Evaluation'!$A$46:$F$120,3,0),""))&amp;""</f>
        <v/>
      </c>
      <c r="E98" s="209" t="str">
        <f>IFERROR(VLOOKUP($B98,'Institution Evaluation'!$A$55:$F$345,4,0),IFERROR(VLOOKUP($B98,'Privacy Analyst Evaluation'!$A$46:$F$120,4,0),""))&amp;""</f>
        <v/>
      </c>
      <c r="F98" s="209" t="str">
        <f>IFERROR(VLOOKUP($B98,'Institution Evaluation'!$A$55:$F$345,6,0),IFERROR(VLOOKUP($B98,'Privacy Analyst Evaluation'!$A$46:$F$120,6,0),""))&amp;""</f>
        <v/>
      </c>
      <c r="G98" s="210"/>
      <c r="H98" s="209" t="str">
        <f>IFERROR(IF($H97+1&gt;'(backend scoring)'!$Q$335,"",$H97+1),"")</f>
        <v/>
      </c>
      <c r="I98" s="209" t="str">
        <f>_xlfn.XLOOKUP($H98,'(backend scoring)'!$S$2:$S$333,'(backend scoring)'!$A$2:$A$333,"")</f>
        <v/>
      </c>
      <c r="J98" s="209" t="str">
        <f>IFERROR(VLOOKUP($I98,'Institution Evaluation'!$A$55:$F$345,2,0),IFERROR(VLOOKUP($I98,'Privacy Analyst Evaluation'!$A$46:$F$120,2,0),""))</f>
        <v/>
      </c>
      <c r="K98" s="209" t="str">
        <f>IFERROR(VLOOKUP($I98,'Institution Evaluation'!$A$55:$F$345,3,0),IFERROR(VLOOKUP($I98,'Privacy Analyst Evaluation'!$A$46:$F$120,3,0),""))&amp;""</f>
        <v/>
      </c>
      <c r="L98" s="209" t="str">
        <f>IFERROR(VLOOKUP($I98,'Institution Evaluation'!$A$55:$F$345,4,0),IFERROR(VLOOKUP($I98,'Privacy Analyst Evaluation'!$A$46:$F$120,4,0),""))&amp;""</f>
        <v/>
      </c>
      <c r="M98" s="209" t="str">
        <f>IFERROR(VLOOKUP($I98,'Institution Evaluation'!$A$55:$F$345,6,0),IFERROR(VLOOKUP($I98,'Privacy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135" x14ac:dyDescent="0.2">
      <c r="A99" s="209">
        <f>IFERROR(IF($A98+1&gt;'(backend scoring)'!$T$335,"",$A98+1),"")</f>
        <v>75</v>
      </c>
      <c r="B99" s="209" t="str">
        <f>_xlfn.XLOOKUP($A99,'(backend scoring)'!$V$2:$V$333,'(backend scoring)'!$A$2:$A$333,"")</f>
        <v>AIPL-01</v>
      </c>
      <c r="C99" s="209" t="str">
        <f>IFERROR(VLOOKUP($B99,'Institution Evaluation'!$A$55:$F$345,2,0),IFERROR(VLOOKUP($B99,'Privacy Analyst Evaluation'!$A$46:$F$120,2,0),""))&amp;""</f>
        <v>Are your AI developer's policies, processes, procedures, and practices across the organization related to the mapping, measuring, and managing of AI risks conspicuously posted, unambiguous, and implemented effectively?*</v>
      </c>
      <c r="D99" s="209" t="str">
        <f>IFERROR(VLOOKUP($B99,'Institution Evaluation'!$A$55:$F$345,3,0),IFERROR(VLOOKUP($B99,'Privacy Analyst Evaluation'!$A$46:$F$120,3,0),""))&amp;""</f>
        <v/>
      </c>
      <c r="E99" s="209" t="str">
        <f>IFERROR(VLOOKUP($B99,'Institution Evaluation'!$A$55:$F$345,4,0),IFERROR(VLOOKUP($B99,'Privacy Analyst Evaluation'!$A$46:$F$120,4,0),""))&amp;""</f>
        <v/>
      </c>
      <c r="F99" s="209" t="str">
        <f>IFERROR(VLOOKUP($B99,'Institution Evaluation'!$A$55:$F$345,6,0),IFERROR(VLOOKUP($B99,'Privacy Analyst Evaluation'!$A$46:$F$120,6,0),""))&amp;""</f>
        <v/>
      </c>
      <c r="G99" s="210"/>
      <c r="H99" s="209" t="str">
        <f>IFERROR(IF($H98+1&gt;'(backend scoring)'!$Q$335,"",$H98+1),"")</f>
        <v/>
      </c>
      <c r="I99" s="209" t="str">
        <f>_xlfn.XLOOKUP($H99,'(backend scoring)'!$S$2:$S$333,'(backend scoring)'!$A$2:$A$333,"")</f>
        <v/>
      </c>
      <c r="J99" s="209" t="str">
        <f>IFERROR(VLOOKUP($I99,'Institution Evaluation'!$A$55:$F$345,2,0),IFERROR(VLOOKUP($I99,'Privacy Analyst Evaluation'!$A$46:$F$120,2,0),""))</f>
        <v/>
      </c>
      <c r="K99" s="209" t="str">
        <f>IFERROR(VLOOKUP($I99,'Institution Evaluation'!$A$55:$F$345,3,0),IFERROR(VLOOKUP($I99,'Privacy Analyst Evaluation'!$A$46:$F$120,3,0),""))&amp;""</f>
        <v/>
      </c>
      <c r="L99" s="209" t="str">
        <f>IFERROR(VLOOKUP($I99,'Institution Evaluation'!$A$55:$F$345,4,0),IFERROR(VLOOKUP($I99,'Privacy Analyst Evaluation'!$A$46:$F$120,4,0),""))&amp;""</f>
        <v/>
      </c>
      <c r="M99" s="209" t="str">
        <f>IFERROR(VLOOKUP($I99,'Institution Evaluation'!$A$55:$F$345,6,0),IFERROR(VLOOKUP($I99,'Privacy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30" x14ac:dyDescent="0.2">
      <c r="A100" s="209">
        <f>IFERROR(IF($A99+1&gt;'(backend scoring)'!$T$335,"",$A99+1),"")</f>
        <v>76</v>
      </c>
      <c r="B100" s="209" t="str">
        <f>_xlfn.XLOOKUP($A100,'(backend scoring)'!$V$2:$V$333,'(backend scoring)'!$A$2:$A$333,"")</f>
        <v>AIPL-02</v>
      </c>
      <c r="C100" s="209" t="str">
        <f>IFERROR(VLOOKUP($B100,'Institution Evaluation'!$A$55:$F$345,2,0),IFERROR(VLOOKUP($B100,'Privacy Analyst Evaluation'!$A$46:$F$120,2,0),""))&amp;""</f>
        <v>Have you identified and measured AI risks?*</v>
      </c>
      <c r="D100" s="209" t="str">
        <f>IFERROR(VLOOKUP($B100,'Institution Evaluation'!$A$55:$F$345,3,0),IFERROR(VLOOKUP($B100,'Privacy Analyst Evaluation'!$A$46:$F$120,3,0),""))&amp;""</f>
        <v/>
      </c>
      <c r="E100" s="209" t="str">
        <f>IFERROR(VLOOKUP($B100,'Institution Evaluation'!$A$55:$F$345,4,0),IFERROR(VLOOKUP($B100,'Privacy Analyst Evaluation'!$A$46:$F$120,4,0),""))&amp;""</f>
        <v/>
      </c>
      <c r="F100" s="209" t="str">
        <f>IFERROR(VLOOKUP($B100,'Institution Evaluation'!$A$55:$F$345,6,0),IFERROR(VLOOKUP($B100,'Privacy Analyst Evaluation'!$A$46:$F$120,6,0),""))&amp;""</f>
        <v/>
      </c>
      <c r="G100" s="210"/>
      <c r="H100" s="209" t="str">
        <f>IFERROR(IF($H99+1&gt;'(backend scoring)'!$Q$335,"",$H99+1),"")</f>
        <v/>
      </c>
      <c r="I100" s="209" t="str">
        <f>_xlfn.XLOOKUP($H100,'(backend scoring)'!$S$2:$S$333,'(backend scoring)'!$A$2:$A$333,"")</f>
        <v/>
      </c>
      <c r="J100" s="209" t="str">
        <f>IFERROR(VLOOKUP($I100,'Institution Evaluation'!$A$55:$F$345,2,0),IFERROR(VLOOKUP($I100,'Privacy Analyst Evaluation'!$A$46:$F$120,2,0),""))</f>
        <v/>
      </c>
      <c r="K100" s="209" t="str">
        <f>IFERROR(VLOOKUP($I100,'Institution Evaluation'!$A$55:$F$345,3,0),IFERROR(VLOOKUP($I100,'Privacy Analyst Evaluation'!$A$46:$F$120,3,0),""))&amp;""</f>
        <v/>
      </c>
      <c r="L100" s="209" t="str">
        <f>IFERROR(VLOOKUP($I100,'Institution Evaluation'!$A$55:$F$345,4,0),IFERROR(VLOOKUP($I100,'Privacy Analyst Evaluation'!$A$46:$F$120,4,0),""))&amp;""</f>
        <v/>
      </c>
      <c r="M100" s="209" t="str">
        <f>IFERROR(VLOOKUP($I100,'Institution Evaluation'!$A$55:$F$345,6,0),IFERROR(VLOOKUP($I100,'Privacy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45" x14ac:dyDescent="0.2">
      <c r="A101" s="209">
        <f>IFERROR(IF($A100+1&gt;'(backend scoring)'!$T$335,"",$A100+1),"")</f>
        <v>77</v>
      </c>
      <c r="B101" s="209" t="str">
        <f>_xlfn.XLOOKUP($A101,'(backend scoring)'!$V$2:$V$333,'(backend scoring)'!$A$2:$A$333,"")</f>
        <v>AIPL-03</v>
      </c>
      <c r="C101" s="209" t="str">
        <f>IFERROR(VLOOKUP($B101,'Institution Evaluation'!$A$55:$F$345,2,0),IFERROR(VLOOKUP($B101,'Privacy Analyst Evaluation'!$A$46:$F$120,2,0),""))&amp;""</f>
        <v>In the event of an incident, can your solution's AI features be disabled in a timely manner?*</v>
      </c>
      <c r="D101" s="209" t="str">
        <f>IFERROR(VLOOKUP($B101,'Institution Evaluation'!$A$55:$F$345,3,0),IFERROR(VLOOKUP($B101,'Privacy Analyst Evaluation'!$A$46:$F$120,3,0),""))&amp;""</f>
        <v/>
      </c>
      <c r="E101" s="209" t="str">
        <f>IFERROR(VLOOKUP($B101,'Institution Evaluation'!$A$55:$F$345,4,0),IFERROR(VLOOKUP($B101,'Privacy Analyst Evaluation'!$A$46:$F$120,4,0),""))&amp;""</f>
        <v/>
      </c>
      <c r="F101" s="209" t="str">
        <f>IFERROR(VLOOKUP($B101,'Institution Evaluation'!$A$55:$F$345,6,0),IFERROR(VLOOKUP($B101,'Privacy Analyst Evaluation'!$A$46:$F$120,6,0),""))&amp;""</f>
        <v/>
      </c>
      <c r="G101" s="210"/>
      <c r="H101" s="209" t="str">
        <f>IFERROR(IF($H100+1&gt;'(backend scoring)'!$Q$335,"",$H100+1),"")</f>
        <v/>
      </c>
      <c r="I101" s="209" t="str">
        <f>_xlfn.XLOOKUP($H101,'(backend scoring)'!$S$2:$S$333,'(backend scoring)'!$A$2:$A$333,"")</f>
        <v/>
      </c>
      <c r="J101" s="209" t="str">
        <f>IFERROR(VLOOKUP($I101,'Institution Evaluation'!$A$55:$F$345,2,0),IFERROR(VLOOKUP($I101,'Privacy Analyst Evaluation'!$A$46:$F$120,2,0),""))</f>
        <v/>
      </c>
      <c r="K101" s="209" t="str">
        <f>IFERROR(VLOOKUP($I101,'Institution Evaluation'!$A$55:$F$345,3,0),IFERROR(VLOOKUP($I101,'Privacy Analyst Evaluation'!$A$46:$F$120,3,0),""))&amp;""</f>
        <v/>
      </c>
      <c r="L101" s="209" t="str">
        <f>IFERROR(VLOOKUP($I101,'Institution Evaluation'!$A$55:$F$345,4,0),IFERROR(VLOOKUP($I101,'Privacy Analyst Evaluation'!$A$46:$F$120,4,0),""))&amp;""</f>
        <v/>
      </c>
      <c r="M101" s="209" t="str">
        <f>IFERROR(VLOOKUP($I101,'Institution Evaluation'!$A$55:$F$345,6,0),IFERROR(VLOOKUP($I101,'Privacy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60" x14ac:dyDescent="0.2">
      <c r="A102" s="209">
        <f>IFERROR(IF($A101+1&gt;'(backend scoring)'!$T$335,"",$A101+1),"")</f>
        <v>78</v>
      </c>
      <c r="B102" s="209" t="str">
        <f>_xlfn.XLOOKUP($A102,'(backend scoring)'!$V$2:$V$333,'(backend scoring)'!$A$2:$A$333,"")</f>
        <v>AIPL-04</v>
      </c>
      <c r="C102" s="209" t="str">
        <f>IFERROR(VLOOKUP($B102,'Institution Evaluation'!$A$55:$F$345,2,0),IFERROR(VLOOKUP($B102,'Privacy Analyst Evaluation'!$A$46:$F$120,2,0),""))&amp;""</f>
        <v>If disabled because of an incident, can your solution's AI features be re-enabled in a timely manner?*</v>
      </c>
      <c r="D102" s="209" t="str">
        <f>IFERROR(VLOOKUP($B102,'Institution Evaluation'!$A$55:$F$345,3,0),IFERROR(VLOOKUP($B102,'Privacy Analyst Evaluation'!$A$46:$F$120,3,0),""))&amp;""</f>
        <v/>
      </c>
      <c r="E102" s="209" t="str">
        <f>IFERROR(VLOOKUP($B102,'Institution Evaluation'!$A$55:$F$345,4,0),IFERROR(VLOOKUP($B102,'Privacy Analyst Evaluation'!$A$46:$F$120,4,0),""))&amp;""</f>
        <v/>
      </c>
      <c r="F102" s="209" t="str">
        <f>IFERROR(VLOOKUP($B102,'Institution Evaluation'!$A$55:$F$345,6,0),IFERROR(VLOOKUP($B102,'Privacy Analyst Evaluation'!$A$46:$F$120,6,0),""))&amp;""</f>
        <v/>
      </c>
      <c r="G102" s="210"/>
      <c r="H102" s="209" t="str">
        <f>IFERROR(IF($H101+1&gt;'(backend scoring)'!$Q$335,"",$H101+1),"")</f>
        <v/>
      </c>
      <c r="I102" s="209" t="str">
        <f>_xlfn.XLOOKUP($H102,'(backend scoring)'!$S$2:$S$333,'(backend scoring)'!$A$2:$A$333,"")</f>
        <v/>
      </c>
      <c r="J102" s="209" t="str">
        <f>IFERROR(VLOOKUP($I102,'Institution Evaluation'!$A$55:$F$345,2,0),IFERROR(VLOOKUP($I102,'Privacy Analyst Evaluation'!$A$46:$F$120,2,0),""))</f>
        <v/>
      </c>
      <c r="K102" s="209" t="str">
        <f>IFERROR(VLOOKUP($I102,'Institution Evaluation'!$A$55:$F$345,3,0),IFERROR(VLOOKUP($I102,'Privacy Analyst Evaluation'!$A$46:$F$120,3,0),""))&amp;""</f>
        <v/>
      </c>
      <c r="L102" s="209" t="str">
        <f>IFERROR(VLOOKUP($I102,'Institution Evaluation'!$A$55:$F$345,4,0),IFERROR(VLOOKUP($I102,'Privacy Analyst Evaluation'!$A$46:$F$120,4,0),""))&amp;""</f>
        <v/>
      </c>
      <c r="M102" s="209" t="str">
        <f>IFERROR(VLOOKUP($I102,'Institution Evaluation'!$A$55:$F$345,6,0),IFERROR(VLOOKUP($I102,'Privacy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60" x14ac:dyDescent="0.2">
      <c r="A103" s="209">
        <f>IFERROR(IF($A102+1&gt;'(backend scoring)'!$T$335,"",$A102+1),"")</f>
        <v>79</v>
      </c>
      <c r="B103" s="209" t="str">
        <f>_xlfn.XLOOKUP($A103,'(backend scoring)'!$V$2:$V$333,'(backend scoring)'!$A$2:$A$333,"")</f>
        <v>AISC-01</v>
      </c>
      <c r="C103" s="209" t="str">
        <f>IFERROR(VLOOKUP($B103,'Institution Evaluation'!$A$55:$F$345,2,0),IFERROR(VLOOKUP($B103,'Privacy Analyst Evaluation'!$A$46:$F$120,2,0),""))&amp;""</f>
        <v>If sensitive data is introduced to your solution's AI model, can the data be removed from the AI model by request?*</v>
      </c>
      <c r="D103" s="209" t="str">
        <f>IFERROR(VLOOKUP($B103,'Institution Evaluation'!$A$55:$F$345,3,0),IFERROR(VLOOKUP($B103,'Privacy Analyst Evaluation'!$A$46:$F$120,3,0),""))&amp;""</f>
        <v/>
      </c>
      <c r="E103" s="209" t="str">
        <f>IFERROR(VLOOKUP($B103,'Institution Evaluation'!$A$55:$F$345,4,0),IFERROR(VLOOKUP($B103,'Privacy Analyst Evaluation'!$A$46:$F$120,4,0),""))&amp;""</f>
        <v/>
      </c>
      <c r="F103" s="209" t="str">
        <f>IFERROR(VLOOKUP($B103,'Institution Evaluation'!$A$55:$F$345,6,0),IFERROR(VLOOKUP($B103,'Privacy Analyst Evaluation'!$A$46:$F$120,6,0),""))&amp;""</f>
        <v/>
      </c>
      <c r="G103" s="210"/>
      <c r="H103" s="209" t="str">
        <f>IFERROR(IF($H102+1&gt;'(backend scoring)'!$Q$335,"",$H102+1),"")</f>
        <v/>
      </c>
      <c r="I103" s="209" t="str">
        <f>_xlfn.XLOOKUP($H103,'(backend scoring)'!$S$2:$S$333,'(backend scoring)'!$A$2:$A$333,"")</f>
        <v/>
      </c>
      <c r="J103" s="209" t="str">
        <f>IFERROR(VLOOKUP($I103,'Institution Evaluation'!$A$55:$F$345,2,0),IFERROR(VLOOKUP($I103,'Privacy Analyst Evaluation'!$A$46:$F$120,2,0),""))</f>
        <v/>
      </c>
      <c r="K103" s="209" t="str">
        <f>IFERROR(VLOOKUP($I103,'Institution Evaluation'!$A$55:$F$345,3,0),IFERROR(VLOOKUP($I103,'Privacy Analyst Evaluation'!$A$46:$F$120,3,0),""))&amp;""</f>
        <v/>
      </c>
      <c r="L103" s="209" t="str">
        <f>IFERROR(VLOOKUP($I103,'Institution Evaluation'!$A$55:$F$345,4,0),IFERROR(VLOOKUP($I103,'Privacy Analyst Evaluation'!$A$46:$F$120,4,0),""))&amp;""</f>
        <v/>
      </c>
      <c r="M103" s="209" t="str">
        <f>IFERROR(VLOOKUP($I103,'Institution Evaluation'!$A$55:$F$345,6,0),IFERROR(VLOOKUP($I103,'Privacy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5" x14ac:dyDescent="0.2">
      <c r="A104" s="209">
        <f>IFERROR(IF($A103+1&gt;'(backend scoring)'!$T$335,"",$A103+1),"")</f>
        <v>80</v>
      </c>
      <c r="B104" s="209" t="str">
        <f>_xlfn.XLOOKUP($A104,'(backend scoring)'!$V$2:$V$333,'(backend scoring)'!$A$2:$A$333,"")</f>
        <v>AISC-02</v>
      </c>
      <c r="C104" s="209" t="str">
        <f>IFERROR(VLOOKUP($B104,'Institution Evaluation'!$A$55:$F$345,2,0),IFERROR(VLOOKUP($B104,'Privacy Analyst Evaluation'!$A$46:$F$120,2,0),""))&amp;""</f>
        <v>Is user input data used to influence your solution's AI model?*</v>
      </c>
      <c r="D104" s="209" t="str">
        <f>IFERROR(VLOOKUP($B104,'Institution Evaluation'!$A$55:$F$345,3,0),IFERROR(VLOOKUP($B104,'Privacy Analyst Evaluation'!$A$46:$F$120,3,0),""))&amp;""</f>
        <v/>
      </c>
      <c r="E104" s="209" t="str">
        <f>IFERROR(VLOOKUP($B104,'Institution Evaluation'!$A$55:$F$345,4,0),IFERROR(VLOOKUP($B104,'Privacy Analyst Evaluation'!$A$46:$F$120,4,0),""))&amp;""</f>
        <v/>
      </c>
      <c r="F104" s="209" t="str">
        <f>IFERROR(VLOOKUP($B104,'Institution Evaluation'!$A$55:$F$345,6,0),IFERROR(VLOOKUP($B104,'Privacy Analyst Evaluation'!$A$46:$F$120,6,0),""))&amp;""</f>
        <v/>
      </c>
      <c r="G104" s="210"/>
      <c r="H104" s="209" t="str">
        <f>IFERROR(IF($H103+1&gt;'(backend scoring)'!$Q$335,"",$H103+1),"")</f>
        <v/>
      </c>
      <c r="I104" s="209" t="str">
        <f>_xlfn.XLOOKUP($H104,'(backend scoring)'!$S$2:$S$333,'(backend scoring)'!$A$2:$A$333,"")</f>
        <v/>
      </c>
      <c r="J104" s="209" t="str">
        <f>IFERROR(VLOOKUP($I104,'Institution Evaluation'!$A$55:$F$345,2,0),IFERROR(VLOOKUP($I104,'Privacy Analyst Evaluation'!$A$46:$F$120,2,0),""))</f>
        <v/>
      </c>
      <c r="K104" s="209" t="str">
        <f>IFERROR(VLOOKUP($I104,'Institution Evaluation'!$A$55:$F$345,3,0),IFERROR(VLOOKUP($I104,'Privacy Analyst Evaluation'!$A$46:$F$120,3,0),""))&amp;""</f>
        <v/>
      </c>
      <c r="L104" s="209" t="str">
        <f>IFERROR(VLOOKUP($I104,'Institution Evaluation'!$A$55:$F$345,4,0),IFERROR(VLOOKUP($I104,'Privacy Analyst Evaluation'!$A$46:$F$120,4,0),""))&amp;""</f>
        <v/>
      </c>
      <c r="M104" s="209" t="str">
        <f>IFERROR(VLOOKUP($I104,'Institution Evaluation'!$A$55:$F$345,6,0),IFERROR(VLOOKUP($I104,'Privacy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0" x14ac:dyDescent="0.2">
      <c r="A105" s="209">
        <f>IFERROR(IF($A104+1&gt;'(backend scoring)'!$T$335,"",$A104+1),"")</f>
        <v>81</v>
      </c>
      <c r="B105" s="209" t="str">
        <f>_xlfn.XLOOKUP($A105,'(backend scoring)'!$V$2:$V$333,'(backend scoring)'!$A$2:$A$333,"")</f>
        <v>AISC-03</v>
      </c>
      <c r="C105" s="209" t="str">
        <f>IFERROR(VLOOKUP($B105,'Institution Evaluation'!$A$55:$F$345,2,0),IFERROR(VLOOKUP($B105,'Privacy Analyst Evaluation'!$A$46:$F$120,2,0),""))&amp;""</f>
        <v>Do you provide logging for your solution's AI feature(s) that includes user, date, and action taken?*</v>
      </c>
      <c r="D105" s="209" t="str">
        <f>IFERROR(VLOOKUP($B105,'Institution Evaluation'!$A$55:$F$345,3,0),IFERROR(VLOOKUP($B105,'Privacy Analyst Evaluation'!$A$46:$F$120,3,0),""))&amp;""</f>
        <v/>
      </c>
      <c r="E105" s="209" t="str">
        <f>IFERROR(VLOOKUP($B105,'Institution Evaluation'!$A$55:$F$345,4,0),IFERROR(VLOOKUP($B105,'Privacy Analyst Evaluation'!$A$46:$F$120,4,0),""))&amp;""</f>
        <v/>
      </c>
      <c r="F105" s="209" t="str">
        <f>IFERROR(VLOOKUP($B105,'Institution Evaluation'!$A$55:$F$345,6,0),IFERROR(VLOOKUP($B105,'Privacy Analyst Evaluation'!$A$46:$F$120,6,0),""))&amp;""</f>
        <v/>
      </c>
      <c r="G105" s="210"/>
      <c r="H105" s="209" t="str">
        <f>IFERROR(IF($H104+1&gt;'(backend scoring)'!$Q$335,"",$H104+1),"")</f>
        <v/>
      </c>
      <c r="I105" s="209" t="str">
        <f>_xlfn.XLOOKUP($H105,'(backend scoring)'!$S$2:$S$333,'(backend scoring)'!$A$2:$A$333,"")</f>
        <v/>
      </c>
      <c r="J105" s="209" t="str">
        <f>IFERROR(VLOOKUP($I105,'Institution Evaluation'!$A$55:$F$345,2,0),IFERROR(VLOOKUP($I105,'Privacy Analyst Evaluation'!$A$46:$F$120,2,0),""))</f>
        <v/>
      </c>
      <c r="K105" s="209" t="str">
        <f>IFERROR(VLOOKUP($I105,'Institution Evaluation'!$A$55:$F$345,3,0),IFERROR(VLOOKUP($I105,'Privacy Analyst Evaluation'!$A$46:$F$120,3,0),""))&amp;""</f>
        <v/>
      </c>
      <c r="L105" s="209" t="str">
        <f>IFERROR(VLOOKUP($I105,'Institution Evaluation'!$A$55:$F$345,4,0),IFERROR(VLOOKUP($I105,'Privacy Analyst Evaluation'!$A$46:$F$120,4,0),""))&amp;""</f>
        <v/>
      </c>
      <c r="M105" s="209" t="str">
        <f>IFERROR(VLOOKUP($I105,'Institution Evaluation'!$A$55:$F$345,6,0),IFERROR(VLOOKUP($I105,'Privacy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45" x14ac:dyDescent="0.2">
      <c r="A106" s="209">
        <f>IFERROR(IF($A105+1&gt;'(backend scoring)'!$T$335,"",$A105+1),"")</f>
        <v>82</v>
      </c>
      <c r="B106" s="209" t="str">
        <f>_xlfn.XLOOKUP($A106,'(backend scoring)'!$V$2:$V$333,'(backend scoring)'!$A$2:$A$333,"")</f>
        <v>AIML-01</v>
      </c>
      <c r="C106" s="209" t="str">
        <f>IFERROR(VLOOKUP($B106,'Institution Evaluation'!$A$55:$F$345,2,0),IFERROR(VLOOKUP($B106,'Privacy Analyst Evaluation'!$A$46:$F$120,2,0),""))&amp;""</f>
        <v>Do you separate ML training data from your ML solution data?*</v>
      </c>
      <c r="D106" s="209" t="str">
        <f>IFERROR(VLOOKUP($B106,'Institution Evaluation'!$A$55:$F$345,3,0),IFERROR(VLOOKUP($B106,'Privacy Analyst Evaluation'!$A$46:$F$120,3,0),""))&amp;""</f>
        <v/>
      </c>
      <c r="E106" s="209" t="str">
        <f>IFERROR(VLOOKUP($B106,'Institution Evaluation'!$A$55:$F$345,4,0),IFERROR(VLOOKUP($B106,'Privacy Analyst Evaluation'!$A$46:$F$120,4,0),""))&amp;""</f>
        <v/>
      </c>
      <c r="F106" s="209" t="str">
        <f>IFERROR(VLOOKUP($B106,'Institution Evaluation'!$A$55:$F$345,6,0),IFERROR(VLOOKUP($B106,'Privacy Analyst Evaluation'!$A$46:$F$120,6,0),""))&amp;""</f>
        <v/>
      </c>
      <c r="G106" s="210"/>
      <c r="H106" s="209" t="str">
        <f>IFERROR(IF($H105+1&gt;'(backend scoring)'!$Q$335,"",$H105+1),"")</f>
        <v/>
      </c>
      <c r="I106" s="209" t="str">
        <f>_xlfn.XLOOKUP($H106,'(backend scoring)'!$S$2:$S$333,'(backend scoring)'!$A$2:$A$333,"")</f>
        <v/>
      </c>
      <c r="J106" s="209" t="str">
        <f>IFERROR(VLOOKUP($I106,'Institution Evaluation'!$A$55:$F$345,2,0),IFERROR(VLOOKUP($I106,'Privacy Analyst Evaluation'!$A$46:$F$120,2,0),""))</f>
        <v/>
      </c>
      <c r="K106" s="209" t="str">
        <f>IFERROR(VLOOKUP($I106,'Institution Evaluation'!$A$55:$F$345,3,0),IFERROR(VLOOKUP($I106,'Privacy Analyst Evaluation'!$A$46:$F$120,3,0),""))&amp;""</f>
        <v/>
      </c>
      <c r="L106" s="209" t="str">
        <f>IFERROR(VLOOKUP($I106,'Institution Evaluation'!$A$55:$F$345,4,0),IFERROR(VLOOKUP($I106,'Privacy Analyst Evaluation'!$A$46:$F$120,4,0),""))&amp;""</f>
        <v/>
      </c>
      <c r="M106" s="209" t="str">
        <f>IFERROR(VLOOKUP($I106,'Institution Evaluation'!$A$55:$F$345,6,0),IFERROR(VLOOKUP($I106,'Privacy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30" x14ac:dyDescent="0.2">
      <c r="A107" s="209">
        <f>IFERROR(IF($A106+1&gt;'(backend scoring)'!$T$335,"",$A106+1),"")</f>
        <v>83</v>
      </c>
      <c r="B107" s="209" t="str">
        <f>_xlfn.XLOOKUP($A107,'(backend scoring)'!$V$2:$V$333,'(backend scoring)'!$A$2:$A$333,"")</f>
        <v>AIML-02</v>
      </c>
      <c r="C107" s="209" t="str">
        <f>IFERROR(VLOOKUP($B107,'Institution Evaluation'!$A$55:$F$345,2,0),IFERROR(VLOOKUP($B107,'Privacy Analyst Evaluation'!$A$46:$F$120,2,0),""))&amp;""</f>
        <v>Do you authenticate and verify your ML model's feedback?*</v>
      </c>
      <c r="D107" s="209" t="str">
        <f>IFERROR(VLOOKUP($B107,'Institution Evaluation'!$A$55:$F$345,3,0),IFERROR(VLOOKUP($B107,'Privacy Analyst Evaluation'!$A$46:$F$120,3,0),""))&amp;""</f>
        <v/>
      </c>
      <c r="E107" s="209" t="str">
        <f>IFERROR(VLOOKUP($B107,'Institution Evaluation'!$A$55:$F$345,4,0),IFERROR(VLOOKUP($B107,'Privacy Analyst Evaluation'!$A$46:$F$120,4,0),""))&amp;""</f>
        <v/>
      </c>
      <c r="F107" s="209" t="str">
        <f>IFERROR(VLOOKUP($B107,'Institution Evaluation'!$A$55:$F$345,6,0),IFERROR(VLOOKUP($B107,'Privacy Analyst Evaluation'!$A$46:$F$120,6,0),""))&amp;""</f>
        <v/>
      </c>
      <c r="G107" s="210"/>
      <c r="H107" s="209" t="str">
        <f>IFERROR(IF($H106+1&gt;'(backend scoring)'!$Q$335,"",$H106+1),"")</f>
        <v/>
      </c>
      <c r="I107" s="209" t="str">
        <f>_xlfn.XLOOKUP($H107,'(backend scoring)'!$S$2:$S$333,'(backend scoring)'!$A$2:$A$333,"")</f>
        <v/>
      </c>
      <c r="J107" s="209" t="str">
        <f>IFERROR(VLOOKUP($I107,'Institution Evaluation'!$A$55:$F$345,2,0),IFERROR(VLOOKUP($I107,'Privacy Analyst Evaluation'!$A$46:$F$120,2,0),""))</f>
        <v/>
      </c>
      <c r="K107" s="209" t="str">
        <f>IFERROR(VLOOKUP($I107,'Institution Evaluation'!$A$55:$F$345,3,0),IFERROR(VLOOKUP($I107,'Privacy Analyst Evaluation'!$A$46:$F$120,3,0),""))&amp;""</f>
        <v/>
      </c>
      <c r="L107" s="209" t="str">
        <f>IFERROR(VLOOKUP($I107,'Institution Evaluation'!$A$55:$F$345,4,0),IFERROR(VLOOKUP($I107,'Privacy Analyst Evaluation'!$A$46:$F$120,4,0),""))&amp;""</f>
        <v/>
      </c>
      <c r="M107" s="209" t="str">
        <f>IFERROR(VLOOKUP($I107,'Institution Evaluation'!$A$55:$F$345,6,0),IFERROR(VLOOKUP($I107,'Privacy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30" x14ac:dyDescent="0.2">
      <c r="A108" s="209">
        <f>IFERROR(IF($A107+1&gt;'(backend scoring)'!$T$335,"",$A107+1),"")</f>
        <v>84</v>
      </c>
      <c r="B108" s="209" t="str">
        <f>_xlfn.XLOOKUP($A108,'(backend scoring)'!$V$2:$V$333,'(backend scoring)'!$A$2:$A$333,"")</f>
        <v>AILM-01</v>
      </c>
      <c r="C108" s="209" t="str">
        <f>IFERROR(VLOOKUP($B108,'Institution Evaluation'!$A$55:$F$345,2,0),IFERROR(VLOOKUP($B108,'Privacy Analyst Evaluation'!$A$46:$F$120,2,0),""))&amp;""</f>
        <v>Do you limit your solution's LLM privileges by default?*</v>
      </c>
      <c r="D108" s="209" t="str">
        <f>IFERROR(VLOOKUP($B108,'Institution Evaluation'!$A$55:$F$345,3,0),IFERROR(VLOOKUP($B108,'Privacy Analyst Evaluation'!$A$46:$F$120,3,0),""))&amp;""</f>
        <v/>
      </c>
      <c r="E108" s="209" t="str">
        <f>IFERROR(VLOOKUP($B108,'Institution Evaluation'!$A$55:$F$345,4,0),IFERROR(VLOOKUP($B108,'Privacy Analyst Evaluation'!$A$46:$F$120,4,0),""))&amp;""</f>
        <v/>
      </c>
      <c r="F108" s="209" t="str">
        <f>IFERROR(VLOOKUP($B108,'Institution Evaluation'!$A$55:$F$345,6,0),IFERROR(VLOOKUP($B108,'Privacy Analyst Evaluation'!$A$46:$F$120,6,0),""))&amp;""</f>
        <v/>
      </c>
      <c r="G108" s="210"/>
      <c r="H108" s="209" t="str">
        <f>IFERROR(IF($H107+1&gt;'(backend scoring)'!$Q$335,"",$H107+1),"")</f>
        <v/>
      </c>
      <c r="I108" s="209" t="str">
        <f>_xlfn.XLOOKUP($H108,'(backend scoring)'!$S$2:$S$333,'(backend scoring)'!$A$2:$A$333,"")</f>
        <v/>
      </c>
      <c r="J108" s="209" t="str">
        <f>IFERROR(VLOOKUP($I108,'Institution Evaluation'!$A$55:$F$345,2,0),IFERROR(VLOOKUP($I108,'Privacy Analyst Evaluation'!$A$46:$F$120,2,0),""))</f>
        <v/>
      </c>
      <c r="K108" s="209" t="str">
        <f>IFERROR(VLOOKUP($I108,'Institution Evaluation'!$A$55:$F$345,3,0),IFERROR(VLOOKUP($I108,'Privacy Analyst Evaluation'!$A$46:$F$120,3,0),""))&amp;""</f>
        <v/>
      </c>
      <c r="L108" s="209" t="str">
        <f>IFERROR(VLOOKUP($I108,'Institution Evaluation'!$A$55:$F$345,4,0),IFERROR(VLOOKUP($I108,'Privacy Analyst Evaluation'!$A$46:$F$120,4,0),""))&amp;""</f>
        <v/>
      </c>
      <c r="M108" s="209" t="str">
        <f>IFERROR(VLOOKUP($I108,'Institution Evaluation'!$A$55:$F$345,6,0),IFERROR(VLOOKUP($I108,'Privacy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60" x14ac:dyDescent="0.2">
      <c r="A109" s="209">
        <f>IFERROR(IF($A108+1&gt;'(backend scoring)'!$T$335,"",$A108+1),"")</f>
        <v>85</v>
      </c>
      <c r="B109" s="209" t="str">
        <f>_xlfn.XLOOKUP($A109,'(backend scoring)'!$V$2:$V$333,'(backend scoring)'!$A$2:$A$333,"")</f>
        <v>AILM-02</v>
      </c>
      <c r="C109" s="209" t="str">
        <f>IFERROR(VLOOKUP($B109,'Institution Evaluation'!$A$55:$F$345,2,0),IFERROR(VLOOKUP($B109,'Privacy Analyst Evaluation'!$A$46:$F$120,2,0),""))&amp;""</f>
        <v>Is your LLM training data vetted, validated, and verified before training the solution's AI model?*</v>
      </c>
      <c r="D109" s="209" t="str">
        <f>IFERROR(VLOOKUP($B109,'Institution Evaluation'!$A$55:$F$345,3,0),IFERROR(VLOOKUP($B109,'Privacy Analyst Evaluation'!$A$46:$F$120,3,0),""))&amp;""</f>
        <v/>
      </c>
      <c r="E109" s="209" t="str">
        <f>IFERROR(VLOOKUP($B109,'Institution Evaluation'!$A$55:$F$345,4,0),IFERROR(VLOOKUP($B109,'Privacy Analyst Evaluation'!$A$46:$F$120,4,0),""))&amp;""</f>
        <v/>
      </c>
      <c r="F109" s="209" t="str">
        <f>IFERROR(VLOOKUP($B109,'Institution Evaluation'!$A$55:$F$345,6,0),IFERROR(VLOOKUP($B109,'Privacy Analyst Evaluation'!$A$46:$F$120,6,0),""))&amp;""</f>
        <v/>
      </c>
      <c r="G109" s="210"/>
      <c r="H109" s="209" t="str">
        <f>IFERROR(IF($H108+1&gt;'(backend scoring)'!$Q$335,"",$H108+1),"")</f>
        <v/>
      </c>
      <c r="I109" s="209" t="str">
        <f>_xlfn.XLOOKUP($H109,'(backend scoring)'!$S$2:$S$333,'(backend scoring)'!$A$2:$A$333,"")</f>
        <v/>
      </c>
      <c r="J109" s="209" t="str">
        <f>IFERROR(VLOOKUP($I109,'Institution Evaluation'!$A$55:$F$345,2,0),IFERROR(VLOOKUP($I109,'Privacy Analyst Evaluation'!$A$46:$F$120,2,0),""))</f>
        <v/>
      </c>
      <c r="K109" s="209" t="str">
        <f>IFERROR(VLOOKUP($I109,'Institution Evaluation'!$A$55:$F$345,3,0),IFERROR(VLOOKUP($I109,'Privacy Analyst Evaluation'!$A$46:$F$120,3,0),""))&amp;""</f>
        <v/>
      </c>
      <c r="L109" s="209" t="str">
        <f>IFERROR(VLOOKUP($I109,'Institution Evaluation'!$A$55:$F$345,4,0),IFERROR(VLOOKUP($I109,'Privacy Analyst Evaluation'!$A$46:$F$120,4,0),""))&amp;""</f>
        <v/>
      </c>
      <c r="M109" s="209" t="str">
        <f>IFERROR(VLOOKUP($I109,'Institution Evaluation'!$A$55:$F$345,6,0),IFERROR(VLOOKUP($I109,'Privacy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60" x14ac:dyDescent="0.2">
      <c r="A110" s="209">
        <f>IFERROR(IF($A109+1&gt;'(backend scoring)'!$T$335,"",$A109+1),"")</f>
        <v>86</v>
      </c>
      <c r="B110" s="209" t="str">
        <f>_xlfn.XLOOKUP($A110,'(backend scoring)'!$V$2:$V$333,'(backend scoring)'!$A$2:$A$333,"")</f>
        <v>AILM-03</v>
      </c>
      <c r="C110" s="209" t="str">
        <f>IFERROR(VLOOKUP($B110,'Institution Evaluation'!$A$55:$F$345,2,0),IFERROR(VLOOKUP($B110,'Privacy Analyst Evaluation'!$A$46:$F$120,2,0),""))&amp;""</f>
        <v>Do any actions taken by your solution's LLM features or plugins require human intervention?*</v>
      </c>
      <c r="D110" s="209" t="str">
        <f>IFERROR(VLOOKUP($B110,'Institution Evaluation'!$A$55:$F$345,3,0),IFERROR(VLOOKUP($B110,'Privacy Analyst Evaluation'!$A$46:$F$120,3,0),""))&amp;""</f>
        <v/>
      </c>
      <c r="E110" s="209" t="str">
        <f>IFERROR(VLOOKUP($B110,'Institution Evaluation'!$A$55:$F$345,4,0),IFERROR(VLOOKUP($B110,'Privacy Analyst Evaluation'!$A$46:$F$120,4,0),""))&amp;""</f>
        <v/>
      </c>
      <c r="F110" s="209" t="str">
        <f>IFERROR(VLOOKUP($B110,'Institution Evaluation'!$A$55:$F$345,6,0),IFERROR(VLOOKUP($B110,'Privacy Analyst Evaluation'!$A$46:$F$120,6,0),""))&amp;""</f>
        <v/>
      </c>
      <c r="G110" s="210"/>
      <c r="H110" s="209" t="str">
        <f>IFERROR(IF($H109+1&gt;'(backend scoring)'!$Q$335,"",$H109+1),"")</f>
        <v/>
      </c>
      <c r="I110" s="209" t="str">
        <f>_xlfn.XLOOKUP($H110,'(backend scoring)'!$S$2:$S$333,'(backend scoring)'!$A$2:$A$333,"")</f>
        <v/>
      </c>
      <c r="J110" s="209" t="str">
        <f>IFERROR(VLOOKUP($I110,'Institution Evaluation'!$A$55:$F$345,2,0),IFERROR(VLOOKUP($I110,'Privacy Analyst Evaluation'!$A$46:$F$120,2,0),""))</f>
        <v/>
      </c>
      <c r="K110" s="209" t="str">
        <f>IFERROR(VLOOKUP($I110,'Institution Evaluation'!$A$55:$F$345,3,0),IFERROR(VLOOKUP($I110,'Privacy Analyst Evaluation'!$A$46:$F$120,3,0),""))&amp;""</f>
        <v/>
      </c>
      <c r="L110" s="209" t="str">
        <f>IFERROR(VLOOKUP($I110,'Institution Evaluation'!$A$55:$F$345,4,0),IFERROR(VLOOKUP($I110,'Privacy Analyst Evaluation'!$A$46:$F$120,4,0),""))&amp;""</f>
        <v/>
      </c>
      <c r="M110" s="209" t="str">
        <f>IFERROR(VLOOKUP($I110,'Institution Evaluation'!$A$55:$F$345,6,0),IFERROR(VLOOKUP($I110,'Privacy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45" x14ac:dyDescent="0.2">
      <c r="A111" s="209">
        <f>IFERROR(IF($A110+1&gt;'(backend scoring)'!$T$335,"",$A110+1),"")</f>
        <v>87</v>
      </c>
      <c r="B111" s="209" t="str">
        <f>_xlfn.XLOOKUP($A111,'(backend scoring)'!$V$2:$V$333,'(backend scoring)'!$A$2:$A$333,"")</f>
        <v>AILM-04</v>
      </c>
      <c r="C111" s="209" t="str">
        <f>IFERROR(VLOOKUP($B111,'Institution Evaluation'!$A$55:$F$345,2,0),IFERROR(VLOOKUP($B111,'Privacy Analyst Evaluation'!$A$46:$F$120,2,0),""))&amp;""</f>
        <v>Do you limit multiple LLM model plugins being called as part of a single input?*</v>
      </c>
      <c r="D111" s="209" t="str">
        <f>IFERROR(VLOOKUP($B111,'Institution Evaluation'!$A$55:$F$345,3,0),IFERROR(VLOOKUP($B111,'Privacy Analyst Evaluation'!$A$46:$F$120,3,0),""))&amp;""</f>
        <v/>
      </c>
      <c r="E111" s="209" t="str">
        <f>IFERROR(VLOOKUP($B111,'Institution Evaluation'!$A$55:$F$345,4,0),IFERROR(VLOOKUP($B111,'Privacy Analyst Evaluation'!$A$46:$F$120,4,0),""))&amp;""</f>
        <v/>
      </c>
      <c r="F111" s="209" t="str">
        <f>IFERROR(VLOOKUP($B111,'Institution Evaluation'!$A$55:$F$345,6,0),IFERROR(VLOOKUP($B111,'Privacy Analyst Evaluation'!$A$46:$F$120,6,0),""))&amp;""</f>
        <v/>
      </c>
      <c r="G111" s="210"/>
      <c r="H111" s="209" t="str">
        <f>IFERROR(IF($H110+1&gt;'(backend scoring)'!$Q$335,"",$H110+1),"")</f>
        <v/>
      </c>
      <c r="I111" s="209" t="str">
        <f>_xlfn.XLOOKUP($H111,'(backend scoring)'!$S$2:$S$333,'(backend scoring)'!$A$2:$A$333,"")</f>
        <v/>
      </c>
      <c r="J111" s="209" t="str">
        <f>IFERROR(VLOOKUP($I111,'Institution Evaluation'!$A$55:$F$345,2,0),IFERROR(VLOOKUP($I111,'Privacy Analyst Evaluation'!$A$46:$F$120,2,0),""))</f>
        <v/>
      </c>
      <c r="K111" s="209" t="str">
        <f>IFERROR(VLOOKUP($I111,'Institution Evaluation'!$A$55:$F$345,3,0),IFERROR(VLOOKUP($I111,'Privacy Analyst Evaluation'!$A$46:$F$120,3,0),""))&amp;""</f>
        <v/>
      </c>
      <c r="L111" s="209" t="str">
        <f>IFERROR(VLOOKUP($I111,'Institution Evaluation'!$A$55:$F$345,4,0),IFERROR(VLOOKUP($I111,'Privacy Analyst Evaluation'!$A$46:$F$120,4,0),""))&amp;""</f>
        <v/>
      </c>
      <c r="M111" s="209" t="str">
        <f>IFERROR(VLOOKUP($I111,'Institution Evaluation'!$A$55:$F$345,6,0),IFERROR(VLOOKUP($I111,'Privacy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x14ac:dyDescent="0.2">
      <c r="A112" s="209" t="str">
        <f>IFERROR(IF($A111+1&gt;'(backend scoring)'!$T$335,"",$A111+1),"")</f>
        <v/>
      </c>
      <c r="B112" s="209" t="str">
        <f>_xlfn.XLOOKUP($A112,'(backend scoring)'!$V$2:$V$333,'(backend scoring)'!$A$2:$A$333,"")</f>
        <v/>
      </c>
      <c r="C112" s="209" t="str">
        <f>IFERROR(VLOOKUP($B112,'Institution Evaluation'!$A$55:$F$345,2,0),IFERROR(VLOOKUP($B112,'Privacy Analyst Evaluation'!$A$46:$F$120,2,0),""))&amp;""</f>
        <v/>
      </c>
      <c r="D112" s="209" t="str">
        <f>IFERROR(VLOOKUP($B112,'Institution Evaluation'!$A$55:$F$345,3,0),IFERROR(VLOOKUP($B112,'Privacy Analyst Evaluation'!$A$46:$F$120,3,0),""))&amp;""</f>
        <v/>
      </c>
      <c r="E112" s="209" t="str">
        <f>IFERROR(VLOOKUP($B112,'Institution Evaluation'!$A$55:$F$345,4,0),IFERROR(VLOOKUP($B112,'Privacy Analyst Evaluation'!$A$46:$F$120,4,0),""))&amp;""</f>
        <v/>
      </c>
      <c r="F112" s="209" t="str">
        <f>IFERROR(VLOOKUP($B112,'Institution Evaluation'!$A$55:$F$345,6,0),IFERROR(VLOOKUP($B112,'Privacy Analyst Evaluation'!$A$46:$F$120,6,0),""))&amp;""</f>
        <v/>
      </c>
      <c r="G112" s="210"/>
      <c r="H112" s="209" t="str">
        <f>IFERROR(IF($H111+1&gt;'(backend scoring)'!$Q$335,"",$H111+1),"")</f>
        <v/>
      </c>
      <c r="I112" s="209" t="str">
        <f>_xlfn.XLOOKUP($H112,'(backend scoring)'!$S$2:$S$333,'(backend scoring)'!$A$2:$A$333,"")</f>
        <v/>
      </c>
      <c r="J112" s="209" t="str">
        <f>IFERROR(VLOOKUP($I112,'Institution Evaluation'!$A$55:$F$345,2,0),IFERROR(VLOOKUP($I112,'Privacy Analyst Evaluation'!$A$46:$F$120,2,0),""))</f>
        <v/>
      </c>
      <c r="K112" s="209" t="str">
        <f>IFERROR(VLOOKUP($I112,'Institution Evaluation'!$A$55:$F$345,3,0),IFERROR(VLOOKUP($I112,'Privacy Analyst Evaluation'!$A$46:$F$120,3,0),""))&amp;""</f>
        <v/>
      </c>
      <c r="L112" s="209" t="str">
        <f>IFERROR(VLOOKUP($I112,'Institution Evaluation'!$A$55:$F$345,4,0),IFERROR(VLOOKUP($I112,'Privacy Analyst Evaluation'!$A$46:$F$120,4,0),""))&amp;""</f>
        <v/>
      </c>
      <c r="M112" s="209" t="str">
        <f>IFERROR(VLOOKUP($I112,'Institution Evaluation'!$A$55:$F$345,6,0),IFERROR(VLOOKUP($I112,'Privacy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x14ac:dyDescent="0.2">
      <c r="A113" s="209" t="str">
        <f>IFERROR(IF($A112+1&gt;'(backend scoring)'!$T$335,"",$A112+1),"")</f>
        <v/>
      </c>
      <c r="B113" s="209" t="str">
        <f>_xlfn.XLOOKUP($A113,'(backend scoring)'!$V$2:$V$333,'(backend scoring)'!$A$2:$A$333,"")</f>
        <v/>
      </c>
      <c r="C113" s="209" t="str">
        <f>IFERROR(VLOOKUP($B113,'Institution Evaluation'!$A$55:$F$345,2,0),IFERROR(VLOOKUP($B113,'Privacy Analyst Evaluation'!$A$46:$F$120,2,0),""))&amp;""</f>
        <v/>
      </c>
      <c r="D113" s="209" t="str">
        <f>IFERROR(VLOOKUP($B113,'Institution Evaluation'!$A$55:$F$345,3,0),IFERROR(VLOOKUP($B113,'Privacy Analyst Evaluation'!$A$46:$F$120,3,0),""))&amp;""</f>
        <v/>
      </c>
      <c r="E113" s="209" t="str">
        <f>IFERROR(VLOOKUP($B113,'Institution Evaluation'!$A$55:$F$345,4,0),IFERROR(VLOOKUP($B113,'Privacy Analyst Evaluation'!$A$46:$F$120,4,0),""))&amp;""</f>
        <v/>
      </c>
      <c r="F113" s="209" t="str">
        <f>IFERROR(VLOOKUP($B113,'Institution Evaluation'!$A$55:$F$345,6,0),IFERROR(VLOOKUP($B113,'Privacy Analyst Evaluation'!$A$46:$F$120,6,0),""))&amp;""</f>
        <v/>
      </c>
      <c r="G113" s="210"/>
      <c r="H113" s="209" t="str">
        <f>IFERROR(IF($H112+1&gt;'(backend scoring)'!$Q$335,"",$H112+1),"")</f>
        <v/>
      </c>
      <c r="I113" s="209" t="str">
        <f>_xlfn.XLOOKUP($H113,'(backend scoring)'!$S$2:$S$333,'(backend scoring)'!$A$2:$A$333,"")</f>
        <v/>
      </c>
      <c r="J113" s="209" t="str">
        <f>IFERROR(VLOOKUP($I113,'Institution Evaluation'!$A$55:$F$345,2,0),IFERROR(VLOOKUP($I113,'Privacy Analyst Evaluation'!$A$46:$F$120,2,0),""))</f>
        <v/>
      </c>
      <c r="K113" s="209" t="str">
        <f>IFERROR(VLOOKUP($I113,'Institution Evaluation'!$A$55:$F$345,3,0),IFERROR(VLOOKUP($I113,'Privacy Analyst Evaluation'!$A$46:$F$120,3,0),""))&amp;""</f>
        <v/>
      </c>
      <c r="L113" s="209" t="str">
        <f>IFERROR(VLOOKUP($I113,'Institution Evaluation'!$A$55:$F$345,4,0),IFERROR(VLOOKUP($I113,'Privacy Analyst Evaluation'!$A$46:$F$120,4,0),""))&amp;""</f>
        <v/>
      </c>
      <c r="M113" s="209" t="str">
        <f>IFERROR(VLOOKUP($I113,'Institution Evaluation'!$A$55:$F$345,6,0),IFERROR(VLOOKUP($I113,'Privacy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x14ac:dyDescent="0.2">
      <c r="A114" s="209" t="str">
        <f>IFERROR(IF($A113+1&gt;'(backend scoring)'!$T$335,"",$A113+1),"")</f>
        <v/>
      </c>
      <c r="B114" s="209" t="str">
        <f>_xlfn.XLOOKUP($A114,'(backend scoring)'!$V$2:$V$333,'(backend scoring)'!$A$2:$A$333,"")</f>
        <v/>
      </c>
      <c r="C114" s="209" t="str">
        <f>IFERROR(VLOOKUP($B114,'Institution Evaluation'!$A$55:$F$345,2,0),IFERROR(VLOOKUP($B114,'Privacy Analyst Evaluation'!$A$46:$F$120,2,0),""))&amp;""</f>
        <v/>
      </c>
      <c r="D114" s="209" t="str">
        <f>IFERROR(VLOOKUP($B114,'Institution Evaluation'!$A$55:$F$345,3,0),IFERROR(VLOOKUP($B114,'Privacy Analyst Evaluation'!$A$46:$F$120,3,0),""))&amp;""</f>
        <v/>
      </c>
      <c r="E114" s="209" t="str">
        <f>IFERROR(VLOOKUP($B114,'Institution Evaluation'!$A$55:$F$345,4,0),IFERROR(VLOOKUP($B114,'Privacy Analyst Evaluation'!$A$46:$F$120,4,0),""))&amp;""</f>
        <v/>
      </c>
      <c r="F114" s="209" t="str">
        <f>IFERROR(VLOOKUP($B114,'Institution Evaluation'!$A$55:$F$345,6,0),IFERROR(VLOOKUP($B114,'Privacy Analyst Evaluation'!$A$46:$F$120,6,0),""))&amp;""</f>
        <v/>
      </c>
      <c r="G114" s="210"/>
      <c r="H114" s="209" t="str">
        <f>IFERROR(IF($H113+1&gt;'(backend scoring)'!$Q$335,"",$H113+1),"")</f>
        <v/>
      </c>
      <c r="I114" s="209" t="str">
        <f>_xlfn.XLOOKUP($H114,'(backend scoring)'!$S$2:$S$333,'(backend scoring)'!$A$2:$A$333,"")</f>
        <v/>
      </c>
      <c r="J114" s="209" t="str">
        <f>IFERROR(VLOOKUP($I114,'Institution Evaluation'!$A$55:$F$345,2,0),IFERROR(VLOOKUP($I114,'Privacy Analyst Evaluation'!$A$46:$F$120,2,0),""))</f>
        <v/>
      </c>
      <c r="K114" s="209" t="str">
        <f>IFERROR(VLOOKUP($I114,'Institution Evaluation'!$A$55:$F$345,3,0),IFERROR(VLOOKUP($I114,'Privacy Analyst Evaluation'!$A$46:$F$120,3,0),""))&amp;""</f>
        <v/>
      </c>
      <c r="L114" s="209" t="str">
        <f>IFERROR(VLOOKUP($I114,'Institution Evaluation'!$A$55:$F$345,4,0),IFERROR(VLOOKUP($I114,'Privacy Analyst Evaluation'!$A$46:$F$120,4,0),""))&amp;""</f>
        <v/>
      </c>
      <c r="M114" s="209" t="str">
        <f>IFERROR(VLOOKUP($I114,'Institution Evaluation'!$A$55:$F$345,6,0),IFERROR(VLOOKUP($I114,'Privacy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2">
      <c r="A115" s="209" t="str">
        <f>IFERROR(IF($A114+1&gt;'(backend scoring)'!$T$335,"",$A114+1),"")</f>
        <v/>
      </c>
      <c r="B115" s="209" t="str">
        <f>_xlfn.XLOOKUP($A115,'(backend scoring)'!$V$2:$V$333,'(backend scoring)'!$A$2:$A$333,"")</f>
        <v/>
      </c>
      <c r="C115" s="209" t="str">
        <f>IFERROR(VLOOKUP($B115,'Institution Evaluation'!$A$55:$F$345,2,0),IFERROR(VLOOKUP($B115,'Privacy Analyst Evaluation'!$A$46:$F$120,2,0),""))&amp;""</f>
        <v/>
      </c>
      <c r="D115" s="209" t="str">
        <f>IFERROR(VLOOKUP($B115,'Institution Evaluation'!$A$55:$F$345,3,0),IFERROR(VLOOKUP($B115,'Privacy Analyst Evaluation'!$A$46:$F$120,3,0),""))&amp;""</f>
        <v/>
      </c>
      <c r="E115" s="209" t="str">
        <f>IFERROR(VLOOKUP($B115,'Institution Evaluation'!$A$55:$F$345,4,0),IFERROR(VLOOKUP($B115,'Privacy Analyst Evaluation'!$A$46:$F$120,4,0),""))&amp;""</f>
        <v/>
      </c>
      <c r="F115" s="209" t="str">
        <f>IFERROR(VLOOKUP($B115,'Institution Evaluation'!$A$55:$F$345,6,0),IFERROR(VLOOKUP($B115,'Privacy Analyst Evaluation'!$A$46:$F$120,6,0),""))&amp;""</f>
        <v/>
      </c>
      <c r="G115" s="210"/>
      <c r="H115" s="209" t="str">
        <f>IFERROR(IF($H114+1&gt;'(backend scoring)'!$Q$335,"",$H114+1),"")</f>
        <v/>
      </c>
      <c r="I115" s="209" t="str">
        <f>_xlfn.XLOOKUP($H115,'(backend scoring)'!$S$2:$S$333,'(backend scoring)'!$A$2:$A$333,"")</f>
        <v/>
      </c>
      <c r="J115" s="209" t="str">
        <f>IFERROR(VLOOKUP($I115,'Institution Evaluation'!$A$55:$F$345,2,0),IFERROR(VLOOKUP($I115,'Privacy Analyst Evaluation'!$A$46:$F$120,2,0),""))</f>
        <v/>
      </c>
      <c r="K115" s="209" t="str">
        <f>IFERROR(VLOOKUP($I115,'Institution Evaluation'!$A$55:$F$345,3,0),IFERROR(VLOOKUP($I115,'Privacy Analyst Evaluation'!$A$46:$F$120,3,0),""))&amp;""</f>
        <v/>
      </c>
      <c r="L115" s="209" t="str">
        <f>IFERROR(VLOOKUP($I115,'Institution Evaluation'!$A$55:$F$345,4,0),IFERROR(VLOOKUP($I115,'Privacy Analyst Evaluation'!$A$46:$F$120,4,0),""))&amp;""</f>
        <v/>
      </c>
      <c r="M115" s="209" t="str">
        <f>IFERROR(VLOOKUP($I115,'Institution Evaluation'!$A$55:$F$345,6,0),IFERROR(VLOOKUP($I115,'Privacy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2">
      <c r="A116" s="209" t="str">
        <f>IFERROR(IF($A115+1&gt;'(backend scoring)'!$T$335,"",$A115+1),"")</f>
        <v/>
      </c>
      <c r="B116" s="209" t="str">
        <f>_xlfn.XLOOKUP($A116,'(backend scoring)'!$V$2:$V$333,'(backend scoring)'!$A$2:$A$333,"")</f>
        <v/>
      </c>
      <c r="C116" s="209" t="str">
        <f>IFERROR(VLOOKUP($B116,'Institution Evaluation'!$A$55:$F$345,2,0),IFERROR(VLOOKUP($B116,'Privacy Analyst Evaluation'!$A$46:$F$120,2,0),""))&amp;""</f>
        <v/>
      </c>
      <c r="D116" s="209" t="str">
        <f>IFERROR(VLOOKUP($B116,'Institution Evaluation'!$A$55:$F$345,3,0),IFERROR(VLOOKUP($B116,'Privacy Analyst Evaluation'!$A$46:$F$120,3,0),""))&amp;""</f>
        <v/>
      </c>
      <c r="E116" s="209" t="str">
        <f>IFERROR(VLOOKUP($B116,'Institution Evaluation'!$A$55:$F$345,4,0),IFERROR(VLOOKUP($B116,'Privacy Analyst Evaluation'!$A$46:$F$120,4,0),""))&amp;""</f>
        <v/>
      </c>
      <c r="F116" s="209" t="str">
        <f>IFERROR(VLOOKUP($B116,'Institution Evaluation'!$A$55:$F$345,6,0),IFERROR(VLOOKUP($B116,'Privacy Analyst Evaluation'!$A$46:$F$120,6,0),""))&amp;""</f>
        <v/>
      </c>
      <c r="G116" s="210"/>
      <c r="H116" s="209" t="str">
        <f>IFERROR(IF($H115+1&gt;'(backend scoring)'!$Q$335,"",$H115+1),"")</f>
        <v/>
      </c>
      <c r="I116" s="209" t="str">
        <f>_xlfn.XLOOKUP($H116,'(backend scoring)'!$S$2:$S$333,'(backend scoring)'!$A$2:$A$333,"")</f>
        <v/>
      </c>
      <c r="J116" s="209" t="str">
        <f>IFERROR(VLOOKUP($I116,'Institution Evaluation'!$A$55:$F$345,2,0),IFERROR(VLOOKUP($I116,'Privacy Analyst Evaluation'!$A$46:$F$120,2,0),""))</f>
        <v/>
      </c>
      <c r="K116" s="209" t="str">
        <f>IFERROR(VLOOKUP($I116,'Institution Evaluation'!$A$55:$F$345,3,0),IFERROR(VLOOKUP($I116,'Privacy Analyst Evaluation'!$A$46:$F$120,3,0),""))&amp;""</f>
        <v/>
      </c>
      <c r="L116" s="209" t="str">
        <f>IFERROR(VLOOKUP($I116,'Institution Evaluation'!$A$55:$F$345,4,0),IFERROR(VLOOKUP($I116,'Privacy Analyst Evaluation'!$A$46:$F$120,4,0),""))&amp;""</f>
        <v/>
      </c>
      <c r="M116" s="209" t="str">
        <f>IFERROR(VLOOKUP($I116,'Institution Evaluation'!$A$55:$F$345,6,0),IFERROR(VLOOKUP($I116,'Privacy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2">
      <c r="A117" s="209" t="str">
        <f>IFERROR(IF($A116+1&gt;'(backend scoring)'!$T$335,"",$A116+1),"")</f>
        <v/>
      </c>
      <c r="B117" s="209" t="str">
        <f>_xlfn.XLOOKUP($A117,'(backend scoring)'!$V$2:$V$333,'(backend scoring)'!$A$2:$A$333,"")</f>
        <v/>
      </c>
      <c r="C117" s="209" t="str">
        <f>IFERROR(VLOOKUP($B117,'Institution Evaluation'!$A$55:$F$345,2,0),IFERROR(VLOOKUP($B117,'Privacy Analyst Evaluation'!$A$46:$F$120,2,0),""))&amp;""</f>
        <v/>
      </c>
      <c r="D117" s="209" t="str">
        <f>IFERROR(VLOOKUP($B117,'Institution Evaluation'!$A$55:$F$345,3,0),IFERROR(VLOOKUP($B117,'Privacy Analyst Evaluation'!$A$46:$F$120,3,0),""))&amp;""</f>
        <v/>
      </c>
      <c r="E117" s="209" t="str">
        <f>IFERROR(VLOOKUP($B117,'Institution Evaluation'!$A$55:$F$345,4,0),IFERROR(VLOOKUP($B117,'Privacy Analyst Evaluation'!$A$46:$F$120,4,0),""))&amp;""</f>
        <v/>
      </c>
      <c r="F117" s="209" t="str">
        <f>IFERROR(VLOOKUP($B117,'Institution Evaluation'!$A$55:$F$345,6,0),IFERROR(VLOOKUP($B117,'Privacy Analyst Evaluation'!$A$46:$F$120,6,0),""))&amp;""</f>
        <v/>
      </c>
      <c r="G117" s="210"/>
      <c r="H117" s="209" t="str">
        <f>IFERROR(IF($H116+1&gt;'(backend scoring)'!$Q$335,"",$H116+1),"")</f>
        <v/>
      </c>
      <c r="I117" s="209" t="str">
        <f>_xlfn.XLOOKUP($H117,'(backend scoring)'!$S$2:$S$333,'(backend scoring)'!$A$2:$A$333,"")</f>
        <v/>
      </c>
      <c r="J117" s="209" t="str">
        <f>IFERROR(VLOOKUP($I117,'Institution Evaluation'!$A$55:$F$345,2,0),IFERROR(VLOOKUP($I117,'Privacy Analyst Evaluation'!$A$46:$F$120,2,0),""))</f>
        <v/>
      </c>
      <c r="K117" s="209" t="str">
        <f>IFERROR(VLOOKUP($I117,'Institution Evaluation'!$A$55:$F$345,3,0),IFERROR(VLOOKUP($I117,'Privacy Analyst Evaluation'!$A$46:$F$120,3,0),""))&amp;""</f>
        <v/>
      </c>
      <c r="L117" s="209" t="str">
        <f>IFERROR(VLOOKUP($I117,'Institution Evaluation'!$A$55:$F$345,4,0),IFERROR(VLOOKUP($I117,'Privacy Analyst Evaluation'!$A$46:$F$120,4,0),""))&amp;""</f>
        <v/>
      </c>
      <c r="M117" s="209" t="str">
        <f>IFERROR(VLOOKUP($I117,'Institution Evaluation'!$A$55:$F$345,6,0),IFERROR(VLOOKUP($I117,'Privacy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2">
      <c r="A118" s="209" t="str">
        <f>IFERROR(IF($A117+1&gt;'(backend scoring)'!$T$335,"",$A117+1),"")</f>
        <v/>
      </c>
      <c r="B118" s="209" t="str">
        <f>_xlfn.XLOOKUP($A118,'(backend scoring)'!$V$2:$V$333,'(backend scoring)'!$A$2:$A$333,"")</f>
        <v/>
      </c>
      <c r="C118" s="209" t="str">
        <f>IFERROR(VLOOKUP($B118,'Institution Evaluation'!$A$55:$F$345,2,0),IFERROR(VLOOKUP($B118,'Privacy Analyst Evaluation'!$A$46:$F$120,2,0),""))&amp;""</f>
        <v/>
      </c>
      <c r="D118" s="209" t="str">
        <f>IFERROR(VLOOKUP($B118,'Institution Evaluation'!$A$55:$F$345,3,0),IFERROR(VLOOKUP($B118,'Privacy Analyst Evaluation'!$A$46:$F$120,3,0),""))&amp;""</f>
        <v/>
      </c>
      <c r="E118" s="209" t="str">
        <f>IFERROR(VLOOKUP($B118,'Institution Evaluation'!$A$55:$F$345,4,0),IFERROR(VLOOKUP($B118,'Privacy Analyst Evaluation'!$A$46:$F$120,4,0),""))&amp;""</f>
        <v/>
      </c>
      <c r="F118" s="209" t="str">
        <f>IFERROR(VLOOKUP($B118,'Institution Evaluation'!$A$55:$F$345,6,0),IFERROR(VLOOKUP($B118,'Privacy Analyst Evaluation'!$A$46:$F$120,6,0),""))&amp;""</f>
        <v/>
      </c>
      <c r="G118" s="210"/>
      <c r="H118" s="209" t="str">
        <f>IFERROR(IF($H117+1&gt;'(backend scoring)'!$Q$335,"",$H117+1),"")</f>
        <v/>
      </c>
      <c r="I118" s="209" t="str">
        <f>_xlfn.XLOOKUP($H118,'(backend scoring)'!$S$2:$S$333,'(backend scoring)'!$A$2:$A$333,"")</f>
        <v/>
      </c>
      <c r="J118" s="209" t="str">
        <f>IFERROR(VLOOKUP($I118,'Institution Evaluation'!$A$55:$F$345,2,0),IFERROR(VLOOKUP($I118,'Privacy Analyst Evaluation'!$A$46:$F$120,2,0),""))</f>
        <v/>
      </c>
      <c r="K118" s="209" t="str">
        <f>IFERROR(VLOOKUP($I118,'Institution Evaluation'!$A$55:$F$345,3,0),IFERROR(VLOOKUP($I118,'Privacy Analyst Evaluation'!$A$46:$F$120,3,0),""))&amp;""</f>
        <v/>
      </c>
      <c r="L118" s="209" t="str">
        <f>IFERROR(VLOOKUP($I118,'Institution Evaluation'!$A$55:$F$345,4,0),IFERROR(VLOOKUP($I118,'Privacy Analyst Evaluation'!$A$46:$F$120,4,0),""))&amp;""</f>
        <v/>
      </c>
      <c r="M118" s="209" t="str">
        <f>IFERROR(VLOOKUP($I118,'Institution Evaluation'!$A$55:$F$345,6,0),IFERROR(VLOOKUP($I118,'Privacy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2">
      <c r="A119" s="209" t="str">
        <f>IFERROR(IF($A118+1&gt;'(backend scoring)'!$T$335,"",$A118+1),"")</f>
        <v/>
      </c>
      <c r="B119" s="209" t="str">
        <f>_xlfn.XLOOKUP($A119,'(backend scoring)'!$V$2:$V$333,'(backend scoring)'!$A$2:$A$333,"")</f>
        <v/>
      </c>
      <c r="C119" s="209" t="str">
        <f>IFERROR(VLOOKUP($B119,'Institution Evaluation'!$A$55:$F$345,2,0),IFERROR(VLOOKUP($B119,'Privacy Analyst Evaluation'!$A$46:$F$120,2,0),""))&amp;""</f>
        <v/>
      </c>
      <c r="D119" s="209" t="str">
        <f>IFERROR(VLOOKUP($B119,'Institution Evaluation'!$A$55:$F$345,3,0),IFERROR(VLOOKUP($B119,'Privacy Analyst Evaluation'!$A$46:$F$120,3,0),""))&amp;""</f>
        <v/>
      </c>
      <c r="E119" s="209" t="str">
        <f>IFERROR(VLOOKUP($B119,'Institution Evaluation'!$A$55:$F$345,4,0),IFERROR(VLOOKUP($B119,'Privacy Analyst Evaluation'!$A$46:$F$120,4,0),""))&amp;""</f>
        <v/>
      </c>
      <c r="F119" s="209" t="str">
        <f>IFERROR(VLOOKUP($B119,'Institution Evaluation'!$A$55:$F$345,6,0),IFERROR(VLOOKUP($B119,'Privacy Analyst Evaluation'!$A$46:$F$120,6,0),""))&amp;""</f>
        <v/>
      </c>
      <c r="G119" s="210"/>
      <c r="H119" s="209" t="str">
        <f>IFERROR(IF($H118+1&gt;'(backend scoring)'!$Q$335,"",$H118+1),"")</f>
        <v/>
      </c>
      <c r="I119" s="209" t="str">
        <f>_xlfn.XLOOKUP($H119,'(backend scoring)'!$S$2:$S$333,'(backend scoring)'!$A$2:$A$333,"")</f>
        <v/>
      </c>
      <c r="J119" s="209" t="str">
        <f>IFERROR(VLOOKUP($I119,'Institution Evaluation'!$A$55:$F$345,2,0),IFERROR(VLOOKUP($I119,'Privacy Analyst Evaluation'!$A$46:$F$120,2,0),""))</f>
        <v/>
      </c>
      <c r="K119" s="209" t="str">
        <f>IFERROR(VLOOKUP($I119,'Institution Evaluation'!$A$55:$F$345,3,0),IFERROR(VLOOKUP($I119,'Privacy Analyst Evaluation'!$A$46:$F$120,3,0),""))&amp;""</f>
        <v/>
      </c>
      <c r="L119" s="209" t="str">
        <f>IFERROR(VLOOKUP($I119,'Institution Evaluation'!$A$55:$F$345,4,0),IFERROR(VLOOKUP($I119,'Privacy Analyst Evaluation'!$A$46:$F$120,4,0),""))&amp;""</f>
        <v/>
      </c>
      <c r="M119" s="209" t="str">
        <f>IFERROR(VLOOKUP($I119,'Institution Evaluation'!$A$55:$F$345,6,0),IFERROR(VLOOKUP($I119,'Privacy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2">
      <c r="A120" s="209" t="str">
        <f>IFERROR(IF($A119+1&gt;'(backend scoring)'!$T$335,"",$A119+1),"")</f>
        <v/>
      </c>
      <c r="B120" s="209" t="str">
        <f>_xlfn.XLOOKUP($A120,'(backend scoring)'!$V$2:$V$333,'(backend scoring)'!$A$2:$A$333,"")</f>
        <v/>
      </c>
      <c r="C120" s="209" t="str">
        <f>IFERROR(VLOOKUP($B120,'Institution Evaluation'!$A$55:$F$345,2,0),IFERROR(VLOOKUP($B120,'Privacy Analyst Evaluation'!$A$46:$F$120,2,0),""))&amp;""</f>
        <v/>
      </c>
      <c r="D120" s="209" t="str">
        <f>IFERROR(VLOOKUP($B120,'Institution Evaluation'!$A$55:$F$345,3,0),IFERROR(VLOOKUP($B120,'Privacy Analyst Evaluation'!$A$46:$F$120,3,0),""))&amp;""</f>
        <v/>
      </c>
      <c r="E120" s="209" t="str">
        <f>IFERROR(VLOOKUP($B120,'Institution Evaluation'!$A$55:$F$345,4,0),IFERROR(VLOOKUP($B120,'Privacy Analyst Evaluation'!$A$46:$F$120,4,0),""))&amp;""</f>
        <v/>
      </c>
      <c r="F120" s="209" t="str">
        <f>IFERROR(VLOOKUP($B120,'Institution Evaluation'!$A$55:$F$345,6,0),IFERROR(VLOOKUP($B120,'Privacy Analyst Evaluation'!$A$46:$F$120,6,0),""))&amp;""</f>
        <v/>
      </c>
      <c r="G120" s="210"/>
      <c r="H120" s="209" t="str">
        <f>IFERROR(IF($H119+1&gt;'(backend scoring)'!$Q$335,"",$H119+1),"")</f>
        <v/>
      </c>
      <c r="I120" s="209" t="str">
        <f>_xlfn.XLOOKUP($H120,'(backend scoring)'!$S$2:$S$333,'(backend scoring)'!$A$2:$A$333,"")</f>
        <v/>
      </c>
      <c r="J120" s="209" t="str">
        <f>IFERROR(VLOOKUP($I120,'Institution Evaluation'!$A$55:$F$345,2,0),IFERROR(VLOOKUP($I120,'Privacy Analyst Evaluation'!$A$46:$F$120,2,0),""))</f>
        <v/>
      </c>
      <c r="K120" s="209" t="str">
        <f>IFERROR(VLOOKUP($I120,'Institution Evaluation'!$A$55:$F$345,3,0),IFERROR(VLOOKUP($I120,'Privacy Analyst Evaluation'!$A$46:$F$120,3,0),""))&amp;""</f>
        <v/>
      </c>
      <c r="L120" s="209" t="str">
        <f>IFERROR(VLOOKUP($I120,'Institution Evaluation'!$A$55:$F$345,4,0),IFERROR(VLOOKUP($I120,'Privacy Analyst Evaluation'!$A$46:$F$120,4,0),""))&amp;""</f>
        <v/>
      </c>
      <c r="M120" s="209" t="str">
        <f>IFERROR(VLOOKUP($I120,'Institution Evaluation'!$A$55:$F$345,6,0),IFERROR(VLOOKUP($I120,'Privacy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2">
      <c r="A121" s="209" t="str">
        <f>IFERROR(IF($A120+1&gt;'(backend scoring)'!$T$335,"",$A120+1),"")</f>
        <v/>
      </c>
      <c r="B121" s="209" t="str">
        <f>_xlfn.XLOOKUP($A121,'(backend scoring)'!$V$2:$V$333,'(backend scoring)'!$A$2:$A$333,"")</f>
        <v/>
      </c>
      <c r="C121" s="209" t="str">
        <f>IFERROR(VLOOKUP($B121,'Institution Evaluation'!$A$55:$F$345,2,0),IFERROR(VLOOKUP($B121,'Privacy Analyst Evaluation'!$A$46:$F$120,2,0),""))&amp;""</f>
        <v/>
      </c>
      <c r="D121" s="209" t="str">
        <f>IFERROR(VLOOKUP($B121,'Institution Evaluation'!$A$55:$F$345,3,0),IFERROR(VLOOKUP($B121,'Privacy Analyst Evaluation'!$A$46:$F$120,3,0),""))&amp;""</f>
        <v/>
      </c>
      <c r="E121" s="209" t="str">
        <f>IFERROR(VLOOKUP($B121,'Institution Evaluation'!$A$55:$F$345,4,0),IFERROR(VLOOKUP($B121,'Privacy Analyst Evaluation'!$A$46:$F$120,4,0),""))&amp;""</f>
        <v/>
      </c>
      <c r="F121" s="209" t="str">
        <f>IFERROR(VLOOKUP($B121,'Institution Evaluation'!$A$55:$F$345,6,0),IFERROR(VLOOKUP($B121,'Privacy Analyst Evaluation'!$A$46:$F$120,6,0),""))&amp;""</f>
        <v/>
      </c>
      <c r="G121" s="210"/>
      <c r="H121" s="209" t="str">
        <f>IFERROR(IF($H120+1&gt;'(backend scoring)'!$Q$335,"",$H120+1),"")</f>
        <v/>
      </c>
      <c r="I121" s="209" t="str">
        <f>_xlfn.XLOOKUP($H121,'(backend scoring)'!$S$2:$S$333,'(backend scoring)'!$A$2:$A$333,"")</f>
        <v/>
      </c>
      <c r="J121" s="209" t="str">
        <f>IFERROR(VLOOKUP($I121,'Institution Evaluation'!$A$55:$F$345,2,0),IFERROR(VLOOKUP($I121,'Privacy Analyst Evaluation'!$A$46:$F$120,2,0),""))</f>
        <v/>
      </c>
      <c r="K121" s="209" t="str">
        <f>IFERROR(VLOOKUP($I121,'Institution Evaluation'!$A$55:$F$345,3,0),IFERROR(VLOOKUP($I121,'Privacy Analyst Evaluation'!$A$46:$F$120,3,0),""))&amp;""</f>
        <v/>
      </c>
      <c r="L121" s="209" t="str">
        <f>IFERROR(VLOOKUP($I121,'Institution Evaluation'!$A$55:$F$345,4,0),IFERROR(VLOOKUP($I121,'Privacy Analyst Evaluation'!$A$46:$F$120,4,0),""))&amp;""</f>
        <v/>
      </c>
      <c r="M121" s="209" t="str">
        <f>IFERROR(VLOOKUP($I121,'Institution Evaluation'!$A$55:$F$345,6,0),IFERROR(VLOOKUP($I121,'Privacy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2">
      <c r="A122" s="209" t="str">
        <f>IFERROR(IF($A121+1&gt;'(backend scoring)'!$T$335,"",$A121+1),"")</f>
        <v/>
      </c>
      <c r="B122" s="209" t="str">
        <f>_xlfn.XLOOKUP($A122,'(backend scoring)'!$V$2:$V$333,'(backend scoring)'!$A$2:$A$333,"")</f>
        <v/>
      </c>
      <c r="C122" s="209" t="str">
        <f>IFERROR(VLOOKUP($B122,'Institution Evaluation'!$A$55:$F$345,2,0),IFERROR(VLOOKUP($B122,'Privacy Analyst Evaluation'!$A$46:$F$120,2,0),""))&amp;""</f>
        <v/>
      </c>
      <c r="D122" s="209" t="str">
        <f>IFERROR(VLOOKUP($B122,'Institution Evaluation'!$A$55:$F$345,3,0),IFERROR(VLOOKUP($B122,'Privacy Analyst Evaluation'!$A$46:$F$120,3,0),""))&amp;""</f>
        <v/>
      </c>
      <c r="E122" s="209" t="str">
        <f>IFERROR(VLOOKUP($B122,'Institution Evaluation'!$A$55:$F$345,4,0),IFERROR(VLOOKUP($B122,'Privacy Analyst Evaluation'!$A$46:$F$120,4,0),""))&amp;""</f>
        <v/>
      </c>
      <c r="F122" s="209" t="str">
        <f>IFERROR(VLOOKUP($B122,'Institution Evaluation'!$A$55:$F$345,6,0),IFERROR(VLOOKUP($B122,'Privacy Analyst Evaluation'!$A$46:$F$120,6,0),""))&amp;""</f>
        <v/>
      </c>
      <c r="G122" s="210"/>
      <c r="H122" s="209" t="str">
        <f>IFERROR(IF($H121+1&gt;'(backend scoring)'!$Q$335,"",$H121+1),"")</f>
        <v/>
      </c>
      <c r="I122" s="209" t="str">
        <f>_xlfn.XLOOKUP($H122,'(backend scoring)'!$S$2:$S$333,'(backend scoring)'!$A$2:$A$333,"")</f>
        <v/>
      </c>
      <c r="J122" s="209" t="str">
        <f>IFERROR(VLOOKUP($I122,'Institution Evaluation'!$A$55:$F$345,2,0),IFERROR(VLOOKUP($I122,'Privacy Analyst Evaluation'!$A$46:$F$120,2,0),""))</f>
        <v/>
      </c>
      <c r="K122" s="209" t="str">
        <f>IFERROR(VLOOKUP($I122,'Institution Evaluation'!$A$55:$F$345,3,0),IFERROR(VLOOKUP($I122,'Privacy Analyst Evaluation'!$A$46:$F$120,3,0),""))&amp;""</f>
        <v/>
      </c>
      <c r="L122" s="209" t="str">
        <f>IFERROR(VLOOKUP($I122,'Institution Evaluation'!$A$55:$F$345,4,0),IFERROR(VLOOKUP($I122,'Privacy Analyst Evaluation'!$A$46:$F$120,4,0),""))&amp;""</f>
        <v/>
      </c>
      <c r="M122" s="209" t="str">
        <f>IFERROR(VLOOKUP($I122,'Institution Evaluation'!$A$55:$F$345,6,0),IFERROR(VLOOKUP($I122,'Privacy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2">
      <c r="A123" s="209" t="str">
        <f>IFERROR(IF($A122+1&gt;'(backend scoring)'!$T$335,"",$A122+1),"")</f>
        <v/>
      </c>
      <c r="B123" s="209" t="str">
        <f>_xlfn.XLOOKUP($A123,'(backend scoring)'!$V$2:$V$333,'(backend scoring)'!$A$2:$A$333,"")</f>
        <v/>
      </c>
      <c r="C123" s="209" t="str">
        <f>IFERROR(VLOOKUP($B123,'Institution Evaluation'!$A$55:$F$345,2,0),IFERROR(VLOOKUP($B123,'Privacy Analyst Evaluation'!$A$46:$F$120,2,0),""))&amp;""</f>
        <v/>
      </c>
      <c r="D123" s="209" t="str">
        <f>IFERROR(VLOOKUP($B123,'Institution Evaluation'!$A$55:$F$345,3,0),IFERROR(VLOOKUP($B123,'Privacy Analyst Evaluation'!$A$46:$F$120,3,0),""))&amp;""</f>
        <v/>
      </c>
      <c r="E123" s="209" t="str">
        <f>IFERROR(VLOOKUP($B123,'Institution Evaluation'!$A$55:$F$345,4,0),IFERROR(VLOOKUP($B123,'Privacy Analyst Evaluation'!$A$46:$F$120,4,0),""))&amp;""</f>
        <v/>
      </c>
      <c r="F123" s="209" t="str">
        <f>IFERROR(VLOOKUP($B123,'Institution Evaluation'!$A$55:$F$345,6,0),IFERROR(VLOOKUP($B123,'Privacy Analyst Evaluation'!$A$46:$F$120,6,0),""))&amp;""</f>
        <v/>
      </c>
      <c r="G123" s="210"/>
      <c r="H123" s="209" t="str">
        <f>IFERROR(IF($H122+1&gt;'(backend scoring)'!$Q$335,"",$H122+1),"")</f>
        <v/>
      </c>
      <c r="I123" s="209" t="str">
        <f>_xlfn.XLOOKUP($H123,'(backend scoring)'!$S$2:$S$333,'(backend scoring)'!$A$2:$A$333,"")</f>
        <v/>
      </c>
      <c r="J123" s="209" t="str">
        <f>IFERROR(VLOOKUP($I123,'Institution Evaluation'!$A$55:$F$345,2,0),IFERROR(VLOOKUP($I123,'Privacy Analyst Evaluation'!$A$46:$F$120,2,0),""))</f>
        <v/>
      </c>
      <c r="K123" s="209" t="str">
        <f>IFERROR(VLOOKUP($I123,'Institution Evaluation'!$A$55:$F$345,3,0),IFERROR(VLOOKUP($I123,'Privacy Analyst Evaluation'!$A$46:$F$120,3,0),""))&amp;""</f>
        <v/>
      </c>
      <c r="L123" s="209" t="str">
        <f>IFERROR(VLOOKUP($I123,'Institution Evaluation'!$A$55:$F$345,4,0),IFERROR(VLOOKUP($I123,'Privacy Analyst Evaluation'!$A$46:$F$120,4,0),""))&amp;""</f>
        <v/>
      </c>
      <c r="M123" s="209" t="str">
        <f>IFERROR(VLOOKUP($I123,'Institution Evaluation'!$A$55:$F$345,6,0),IFERROR(VLOOKUP($I123,'Privacy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2">
      <c r="A124" s="209" t="str">
        <f>IFERROR(IF($A123+1&gt;'(backend scoring)'!$T$335,"",$A123+1),"")</f>
        <v/>
      </c>
      <c r="B124" s="209" t="str">
        <f>_xlfn.XLOOKUP($A124,'(backend scoring)'!$V$2:$V$333,'(backend scoring)'!$A$2:$A$333,"")</f>
        <v/>
      </c>
      <c r="C124" s="209" t="str">
        <f>IFERROR(VLOOKUP($B124,'Institution Evaluation'!$A$55:$F$345,2,0),IFERROR(VLOOKUP($B124,'Privacy Analyst Evaluation'!$A$46:$F$120,2,0),""))&amp;""</f>
        <v/>
      </c>
      <c r="D124" s="209" t="str">
        <f>IFERROR(VLOOKUP($B124,'Institution Evaluation'!$A$55:$F$345,3,0),IFERROR(VLOOKUP($B124,'Privacy Analyst Evaluation'!$A$46:$F$120,3,0),""))&amp;""</f>
        <v/>
      </c>
      <c r="E124" s="209" t="str">
        <f>IFERROR(VLOOKUP($B124,'Institution Evaluation'!$A$55:$F$345,4,0),IFERROR(VLOOKUP($B124,'Privacy Analyst Evaluation'!$A$46:$F$120,4,0),""))&amp;""</f>
        <v/>
      </c>
      <c r="F124" s="209" t="str">
        <f>IFERROR(VLOOKUP($B124,'Institution Evaluation'!$A$55:$F$345,6,0),IFERROR(VLOOKUP($B124,'Privacy Analyst Evaluation'!$A$46:$F$120,6,0),""))&amp;""</f>
        <v/>
      </c>
      <c r="G124" s="210"/>
      <c r="H124" s="209" t="str">
        <f>IFERROR(IF($H123+1&gt;'(backend scoring)'!$Q$335,"",$H123+1),"")</f>
        <v/>
      </c>
      <c r="I124" s="209" t="str">
        <f>_xlfn.XLOOKUP($H124,'(backend scoring)'!$S$2:$S$333,'(backend scoring)'!$A$2:$A$333,"")</f>
        <v/>
      </c>
      <c r="J124" s="209" t="str">
        <f>IFERROR(VLOOKUP($I124,'Institution Evaluation'!$A$55:$F$345,2,0),IFERROR(VLOOKUP($I124,'Privacy Analyst Evaluation'!$A$46:$F$120,2,0),""))</f>
        <v/>
      </c>
      <c r="K124" s="209" t="str">
        <f>IFERROR(VLOOKUP($I124,'Institution Evaluation'!$A$55:$F$345,3,0),IFERROR(VLOOKUP($I124,'Privacy Analyst Evaluation'!$A$46:$F$120,3,0),""))&amp;""</f>
        <v/>
      </c>
      <c r="L124" s="209" t="str">
        <f>IFERROR(VLOOKUP($I124,'Institution Evaluation'!$A$55:$F$345,4,0),IFERROR(VLOOKUP($I124,'Privacy Analyst Evaluation'!$A$46:$F$120,4,0),""))&amp;""</f>
        <v/>
      </c>
      <c r="M124" s="209" t="str">
        <f>IFERROR(VLOOKUP($I124,'Institution Evaluation'!$A$55:$F$345,6,0),IFERROR(VLOOKUP($I124,'Privacy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2">
      <c r="A125" s="209" t="str">
        <f>IFERROR(IF($A124+1&gt;'(backend scoring)'!$T$335,"",$A124+1),"")</f>
        <v/>
      </c>
      <c r="B125" s="209" t="str">
        <f>_xlfn.XLOOKUP($A125,'(backend scoring)'!$V$2:$V$333,'(backend scoring)'!$A$2:$A$333,"")</f>
        <v/>
      </c>
      <c r="C125" s="209" t="str">
        <f>IFERROR(VLOOKUP($B125,'Institution Evaluation'!$A$55:$F$345,2,0),IFERROR(VLOOKUP($B125,'Privacy Analyst Evaluation'!$A$46:$F$120,2,0),""))&amp;""</f>
        <v/>
      </c>
      <c r="D125" s="209" t="str">
        <f>IFERROR(VLOOKUP($B125,'Institution Evaluation'!$A$55:$F$345,3,0),IFERROR(VLOOKUP($B125,'Privacy Analyst Evaluation'!$A$46:$F$120,3,0),""))&amp;""</f>
        <v/>
      </c>
      <c r="E125" s="209" t="str">
        <f>IFERROR(VLOOKUP($B125,'Institution Evaluation'!$A$55:$F$345,4,0),IFERROR(VLOOKUP($B125,'Privacy Analyst Evaluation'!$A$46:$F$120,4,0),""))&amp;""</f>
        <v/>
      </c>
      <c r="F125" s="209" t="str">
        <f>IFERROR(VLOOKUP($B125,'Institution Evaluation'!$A$55:$F$345,6,0),IFERROR(VLOOKUP($B125,'Privacy Analyst Evaluation'!$A$46:$F$120,6,0),""))&amp;""</f>
        <v/>
      </c>
      <c r="G125" s="210"/>
      <c r="H125" s="209" t="str">
        <f>IFERROR(IF($H124+1&gt;'(backend scoring)'!$Q$335,"",$H124+1),"")</f>
        <v/>
      </c>
      <c r="I125" s="209" t="str">
        <f>_xlfn.XLOOKUP($H125,'(backend scoring)'!$S$2:$S$333,'(backend scoring)'!$A$2:$A$333,"")</f>
        <v/>
      </c>
      <c r="J125" s="209" t="str">
        <f>IFERROR(VLOOKUP($I125,'Institution Evaluation'!$A$55:$F$345,2,0),IFERROR(VLOOKUP($I125,'Privacy Analyst Evaluation'!$A$46:$F$120,2,0),""))</f>
        <v/>
      </c>
      <c r="K125" s="209" t="str">
        <f>IFERROR(VLOOKUP($I125,'Institution Evaluation'!$A$55:$F$345,3,0),IFERROR(VLOOKUP($I125,'Privacy Analyst Evaluation'!$A$46:$F$120,3,0),""))&amp;""</f>
        <v/>
      </c>
      <c r="L125" s="209" t="str">
        <f>IFERROR(VLOOKUP($I125,'Institution Evaluation'!$A$55:$F$345,4,0),IFERROR(VLOOKUP($I125,'Privacy Analyst Evaluation'!$A$46:$F$120,4,0),""))&amp;""</f>
        <v/>
      </c>
      <c r="M125" s="209" t="str">
        <f>IFERROR(VLOOKUP($I125,'Institution Evaluation'!$A$55:$F$345,6,0),IFERROR(VLOOKUP($I125,'Privacy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2">
      <c r="A126" s="209" t="str">
        <f>IFERROR(IF($A125+1&gt;'(backend scoring)'!$T$335,"",$A125+1),"")</f>
        <v/>
      </c>
      <c r="B126" s="209" t="str">
        <f>_xlfn.XLOOKUP($A126,'(backend scoring)'!$V$2:$V$333,'(backend scoring)'!$A$2:$A$333,"")</f>
        <v/>
      </c>
      <c r="C126" s="209" t="str">
        <f>IFERROR(VLOOKUP($B126,'Institution Evaluation'!$A$55:$F$345,2,0),IFERROR(VLOOKUP($B126,'Privacy Analyst Evaluation'!$A$46:$F$120,2,0),""))&amp;""</f>
        <v/>
      </c>
      <c r="D126" s="209" t="str">
        <f>IFERROR(VLOOKUP($B126,'Institution Evaluation'!$A$55:$F$345,3,0),IFERROR(VLOOKUP($B126,'Privacy Analyst Evaluation'!$A$46:$F$120,3,0),""))&amp;""</f>
        <v/>
      </c>
      <c r="E126" s="209" t="str">
        <f>IFERROR(VLOOKUP($B126,'Institution Evaluation'!$A$55:$F$345,4,0),IFERROR(VLOOKUP($B126,'Privacy Analyst Evaluation'!$A$46:$F$120,4,0),""))&amp;""</f>
        <v/>
      </c>
      <c r="F126" s="209" t="str">
        <f>IFERROR(VLOOKUP($B126,'Institution Evaluation'!$A$55:$F$345,6,0),IFERROR(VLOOKUP($B126,'Privacy Analyst Evaluation'!$A$46:$F$120,6,0),""))&amp;""</f>
        <v/>
      </c>
      <c r="G126" s="210"/>
      <c r="H126" s="209" t="str">
        <f>IFERROR(IF($H125+1&gt;'(backend scoring)'!$Q$335,"",$H125+1),"")</f>
        <v/>
      </c>
      <c r="I126" s="209" t="str">
        <f>_xlfn.XLOOKUP($H126,'(backend scoring)'!$S$2:$S$333,'(backend scoring)'!$A$2:$A$333,"")</f>
        <v/>
      </c>
      <c r="J126" s="209" t="str">
        <f>IFERROR(VLOOKUP($I126,'Institution Evaluation'!$A$55:$F$345,2,0),IFERROR(VLOOKUP($I126,'Privacy Analyst Evaluation'!$A$46:$F$120,2,0),""))</f>
        <v/>
      </c>
      <c r="K126" s="209" t="str">
        <f>IFERROR(VLOOKUP($I126,'Institution Evaluation'!$A$55:$F$345,3,0),IFERROR(VLOOKUP($I126,'Privacy Analyst Evaluation'!$A$46:$F$120,3,0),""))&amp;""</f>
        <v/>
      </c>
      <c r="L126" s="209" t="str">
        <f>IFERROR(VLOOKUP($I126,'Institution Evaluation'!$A$55:$F$345,4,0),IFERROR(VLOOKUP($I126,'Privacy Analyst Evaluation'!$A$46:$F$120,4,0),""))&amp;""</f>
        <v/>
      </c>
      <c r="M126" s="209" t="str">
        <f>IFERROR(VLOOKUP($I126,'Institution Evaluation'!$A$55:$F$345,6,0),IFERROR(VLOOKUP($I126,'Privacy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2">
      <c r="A127" s="209" t="str">
        <f>IFERROR(IF($A126+1&gt;'(backend scoring)'!$T$335,"",$A126+1),"")</f>
        <v/>
      </c>
      <c r="B127" s="209" t="str">
        <f>_xlfn.XLOOKUP($A127,'(backend scoring)'!$V$2:$V$333,'(backend scoring)'!$A$2:$A$333,"")</f>
        <v/>
      </c>
      <c r="C127" s="209" t="str">
        <f>IFERROR(VLOOKUP($B127,'Institution Evaluation'!$A$55:$F$345,2,0),IFERROR(VLOOKUP($B127,'Privacy Analyst Evaluation'!$A$46:$F$120,2,0),""))&amp;""</f>
        <v/>
      </c>
      <c r="D127" s="209" t="str">
        <f>IFERROR(VLOOKUP($B127,'Institution Evaluation'!$A$55:$F$345,3,0),IFERROR(VLOOKUP($B127,'Privacy Analyst Evaluation'!$A$46:$F$120,3,0),""))&amp;""</f>
        <v/>
      </c>
      <c r="E127" s="209" t="str">
        <f>IFERROR(VLOOKUP($B127,'Institution Evaluation'!$A$55:$F$345,4,0),IFERROR(VLOOKUP($B127,'Privacy Analyst Evaluation'!$A$46:$F$120,4,0),""))&amp;""</f>
        <v/>
      </c>
      <c r="F127" s="209" t="str">
        <f>IFERROR(VLOOKUP($B127,'Institution Evaluation'!$A$55:$F$345,6,0),IFERROR(VLOOKUP($B127,'Privacy Analyst Evaluation'!$A$46:$F$120,6,0),""))&amp;""</f>
        <v/>
      </c>
      <c r="G127" s="210"/>
      <c r="H127" s="209" t="str">
        <f>IFERROR(IF($H126+1&gt;'(backend scoring)'!$Q$335,"",$H126+1),"")</f>
        <v/>
      </c>
      <c r="I127" s="209" t="str">
        <f>_xlfn.XLOOKUP($H127,'(backend scoring)'!$S$2:$S$333,'(backend scoring)'!$A$2:$A$333,"")</f>
        <v/>
      </c>
      <c r="J127" s="209" t="str">
        <f>IFERROR(VLOOKUP($I127,'Institution Evaluation'!$A$55:$F$345,2,0),IFERROR(VLOOKUP($I127,'Privacy Analyst Evaluation'!$A$46:$F$120,2,0),""))</f>
        <v/>
      </c>
      <c r="K127" s="209" t="str">
        <f>IFERROR(VLOOKUP($I127,'Institution Evaluation'!$A$55:$F$345,3,0),IFERROR(VLOOKUP($I127,'Privacy Analyst Evaluation'!$A$46:$F$120,3,0),""))&amp;""</f>
        <v/>
      </c>
      <c r="L127" s="209" t="str">
        <f>IFERROR(VLOOKUP($I127,'Institution Evaluation'!$A$55:$F$345,4,0),IFERROR(VLOOKUP($I127,'Privacy Analyst Evaluation'!$A$46:$F$120,4,0),""))&amp;""</f>
        <v/>
      </c>
      <c r="M127" s="209" t="str">
        <f>IFERROR(VLOOKUP($I127,'Institution Evaluation'!$A$55:$F$345,6,0),IFERROR(VLOOKUP($I127,'Privacy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2">
      <c r="A128" s="209" t="str">
        <f>IFERROR(IF($A127+1&gt;'(backend scoring)'!$T$335,"",$A127+1),"")</f>
        <v/>
      </c>
      <c r="B128" s="209" t="str">
        <f>_xlfn.XLOOKUP($A128,'(backend scoring)'!$V$2:$V$333,'(backend scoring)'!$A$2:$A$333,"")</f>
        <v/>
      </c>
      <c r="C128" s="209" t="str">
        <f>IFERROR(VLOOKUP($B128,'Institution Evaluation'!$A$55:$F$345,2,0),IFERROR(VLOOKUP($B128,'Privacy Analyst Evaluation'!$A$46:$F$120,2,0),""))&amp;""</f>
        <v/>
      </c>
      <c r="D128" s="209" t="str">
        <f>IFERROR(VLOOKUP($B128,'Institution Evaluation'!$A$55:$F$345,3,0),IFERROR(VLOOKUP($B128,'Privacy Analyst Evaluation'!$A$46:$F$120,3,0),""))&amp;""</f>
        <v/>
      </c>
      <c r="E128" s="209" t="str">
        <f>IFERROR(VLOOKUP($B128,'Institution Evaluation'!$A$55:$F$345,4,0),IFERROR(VLOOKUP($B128,'Privacy Analyst Evaluation'!$A$46:$F$120,4,0),""))&amp;""</f>
        <v/>
      </c>
      <c r="F128" s="209" t="str">
        <f>IFERROR(VLOOKUP($B128,'Institution Evaluation'!$A$55:$F$345,6,0),IFERROR(VLOOKUP($B128,'Privacy Analyst Evaluation'!$A$46:$F$120,6,0),""))&amp;""</f>
        <v/>
      </c>
      <c r="G128" s="210"/>
      <c r="H128" s="209" t="str">
        <f>IFERROR(IF($H127+1&gt;'(backend scoring)'!$Q$335,"",$H127+1),"")</f>
        <v/>
      </c>
      <c r="I128" s="209" t="str">
        <f>_xlfn.XLOOKUP($H128,'(backend scoring)'!$S$2:$S$333,'(backend scoring)'!$A$2:$A$333,"")</f>
        <v/>
      </c>
      <c r="J128" s="209" t="str">
        <f>IFERROR(VLOOKUP($I128,'Institution Evaluation'!$A$55:$F$345,2,0),IFERROR(VLOOKUP($I128,'Privacy Analyst Evaluation'!$A$46:$F$120,2,0),""))</f>
        <v/>
      </c>
      <c r="K128" s="209" t="str">
        <f>IFERROR(VLOOKUP($I128,'Institution Evaluation'!$A$55:$F$345,3,0),IFERROR(VLOOKUP($I128,'Privacy Analyst Evaluation'!$A$46:$F$120,3,0),""))&amp;""</f>
        <v/>
      </c>
      <c r="L128" s="209" t="str">
        <f>IFERROR(VLOOKUP($I128,'Institution Evaluation'!$A$55:$F$345,4,0),IFERROR(VLOOKUP($I128,'Privacy Analyst Evaluation'!$A$46:$F$120,4,0),""))&amp;""</f>
        <v/>
      </c>
      <c r="M128" s="209" t="str">
        <f>IFERROR(VLOOKUP($I128,'Institution Evaluation'!$A$55:$F$345,6,0),IFERROR(VLOOKUP($I128,'Privacy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2">
      <c r="A129" s="209" t="str">
        <f>IFERROR(IF($A128+1&gt;'(backend scoring)'!$T$335,"",$A128+1),"")</f>
        <v/>
      </c>
      <c r="B129" s="209" t="str">
        <f>_xlfn.XLOOKUP($A129,'(backend scoring)'!$V$2:$V$333,'(backend scoring)'!$A$2:$A$333,"")</f>
        <v/>
      </c>
      <c r="C129" s="209" t="str">
        <f>IFERROR(VLOOKUP($B129,'Institution Evaluation'!$A$55:$F$345,2,0),IFERROR(VLOOKUP($B129,'Privacy Analyst Evaluation'!$A$46:$F$120,2,0),""))&amp;""</f>
        <v/>
      </c>
      <c r="D129" s="209" t="str">
        <f>IFERROR(VLOOKUP($B129,'Institution Evaluation'!$A$55:$F$345,3,0),IFERROR(VLOOKUP($B129,'Privacy Analyst Evaluation'!$A$46:$F$120,3,0),""))&amp;""</f>
        <v/>
      </c>
      <c r="E129" s="209" t="str">
        <f>IFERROR(VLOOKUP($B129,'Institution Evaluation'!$A$55:$F$345,4,0),IFERROR(VLOOKUP($B129,'Privacy Analyst Evaluation'!$A$46:$F$120,4,0),""))&amp;""</f>
        <v/>
      </c>
      <c r="F129" s="209" t="str">
        <f>IFERROR(VLOOKUP($B129,'Institution Evaluation'!$A$55:$F$345,6,0),IFERROR(VLOOKUP($B129,'Privacy Analyst Evaluation'!$A$46:$F$120,6,0),""))&amp;""</f>
        <v/>
      </c>
      <c r="G129" s="210"/>
      <c r="H129" s="209" t="str">
        <f>IFERROR(IF($H128+1&gt;'(backend scoring)'!$Q$335,"",$H128+1),"")</f>
        <v/>
      </c>
      <c r="I129" s="209" t="str">
        <f>_xlfn.XLOOKUP($H129,'(backend scoring)'!$S$2:$S$333,'(backend scoring)'!$A$2:$A$333,"")</f>
        <v/>
      </c>
      <c r="J129" s="209" t="str">
        <f>IFERROR(VLOOKUP($I129,'Institution Evaluation'!$A$55:$F$345,2,0),IFERROR(VLOOKUP($I129,'Privacy Analyst Evaluation'!$A$46:$F$120,2,0),""))</f>
        <v/>
      </c>
      <c r="K129" s="209" t="str">
        <f>IFERROR(VLOOKUP($I129,'Institution Evaluation'!$A$55:$F$345,3,0),IFERROR(VLOOKUP($I129,'Privacy Analyst Evaluation'!$A$46:$F$120,3,0),""))&amp;""</f>
        <v/>
      </c>
      <c r="L129" s="209" t="str">
        <f>IFERROR(VLOOKUP($I129,'Institution Evaluation'!$A$55:$F$345,4,0),IFERROR(VLOOKUP($I129,'Privacy Analyst Evaluation'!$A$46:$F$120,4,0),""))&amp;""</f>
        <v/>
      </c>
      <c r="M129" s="209" t="str">
        <f>IFERROR(VLOOKUP($I129,'Institution Evaluation'!$A$55:$F$345,6,0),IFERROR(VLOOKUP($I129,'Privacy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2">
      <c r="A130" s="209" t="str">
        <f>IFERROR(IF($A129+1&gt;'(backend scoring)'!$T$335,"",$A129+1),"")</f>
        <v/>
      </c>
      <c r="B130" s="209" t="str">
        <f>_xlfn.XLOOKUP($A130,'(backend scoring)'!$V$2:$V$333,'(backend scoring)'!$A$2:$A$333,"")</f>
        <v/>
      </c>
      <c r="C130" s="209" t="str">
        <f>IFERROR(VLOOKUP($B130,'Institution Evaluation'!$A$55:$F$345,2,0),IFERROR(VLOOKUP($B130,'Privacy Analyst Evaluation'!$A$46:$F$120,2,0),""))&amp;""</f>
        <v/>
      </c>
      <c r="D130" s="209" t="str">
        <f>IFERROR(VLOOKUP($B130,'Institution Evaluation'!$A$55:$F$345,3,0),IFERROR(VLOOKUP($B130,'Privacy Analyst Evaluation'!$A$46:$F$120,3,0),""))&amp;""</f>
        <v/>
      </c>
      <c r="E130" s="209" t="str">
        <f>IFERROR(VLOOKUP($B130,'Institution Evaluation'!$A$55:$F$345,4,0),IFERROR(VLOOKUP($B130,'Privacy Analyst Evaluation'!$A$46:$F$120,4,0),""))&amp;""</f>
        <v/>
      </c>
      <c r="F130" s="209" t="str">
        <f>IFERROR(VLOOKUP($B130,'Institution Evaluation'!$A$55:$F$345,6,0),IFERROR(VLOOKUP($B130,'Privacy Analyst Evaluation'!$A$46:$F$120,6,0),""))&amp;""</f>
        <v/>
      </c>
      <c r="G130" s="210"/>
      <c r="H130" s="209" t="str">
        <f>IFERROR(IF($H129+1&gt;'(backend scoring)'!$Q$335,"",$H129+1),"")</f>
        <v/>
      </c>
      <c r="I130" s="209" t="str">
        <f>_xlfn.XLOOKUP($H130,'(backend scoring)'!$S$2:$S$333,'(backend scoring)'!$A$2:$A$333,"")</f>
        <v/>
      </c>
      <c r="J130" s="209" t="str">
        <f>IFERROR(VLOOKUP($I130,'Institution Evaluation'!$A$55:$F$345,2,0),IFERROR(VLOOKUP($I130,'Privacy Analyst Evaluation'!$A$46:$F$120,2,0),""))</f>
        <v/>
      </c>
      <c r="K130" s="209" t="str">
        <f>IFERROR(VLOOKUP($I130,'Institution Evaluation'!$A$55:$F$345,3,0),IFERROR(VLOOKUP($I130,'Privacy Analyst Evaluation'!$A$46:$F$120,3,0),""))&amp;""</f>
        <v/>
      </c>
      <c r="L130" s="209" t="str">
        <f>IFERROR(VLOOKUP($I130,'Institution Evaluation'!$A$55:$F$345,4,0),IFERROR(VLOOKUP($I130,'Privacy Analyst Evaluation'!$A$46:$F$120,4,0),""))&amp;""</f>
        <v/>
      </c>
      <c r="M130" s="209" t="str">
        <f>IFERROR(VLOOKUP($I130,'Institution Evaluation'!$A$55:$F$345,6,0),IFERROR(VLOOKUP($I130,'Privacy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2">
      <c r="A131" s="209" t="str">
        <f>IFERROR(IF($A130+1&gt;'(backend scoring)'!$T$335,"",$A130+1),"")</f>
        <v/>
      </c>
      <c r="B131" s="209" t="str">
        <f>_xlfn.XLOOKUP($A131,'(backend scoring)'!$V$2:$V$333,'(backend scoring)'!$A$2:$A$333,"")</f>
        <v/>
      </c>
      <c r="C131" s="209" t="str">
        <f>IFERROR(VLOOKUP($B131,'Institution Evaluation'!$A$55:$F$345,2,0),IFERROR(VLOOKUP($B131,'Privacy Analyst Evaluation'!$A$46:$F$120,2,0),""))&amp;""</f>
        <v/>
      </c>
      <c r="D131" s="209" t="str">
        <f>IFERROR(VLOOKUP($B131,'Institution Evaluation'!$A$55:$F$345,3,0),IFERROR(VLOOKUP($B131,'Privacy Analyst Evaluation'!$A$46:$F$120,3,0),""))&amp;""</f>
        <v/>
      </c>
      <c r="E131" s="209" t="str">
        <f>IFERROR(VLOOKUP($B131,'Institution Evaluation'!$A$55:$F$345,4,0),IFERROR(VLOOKUP($B131,'Privacy Analyst Evaluation'!$A$46:$F$120,4,0),""))&amp;""</f>
        <v/>
      </c>
      <c r="F131" s="209" t="str">
        <f>IFERROR(VLOOKUP($B131,'Institution Evaluation'!$A$55:$F$345,6,0),IFERROR(VLOOKUP($B131,'Privacy Analyst Evaluation'!$A$46:$F$120,6,0),""))&amp;""</f>
        <v/>
      </c>
      <c r="G131" s="210"/>
      <c r="H131" s="209" t="str">
        <f>IFERROR(IF($H130+1&gt;'(backend scoring)'!$Q$335,"",$H130+1),"")</f>
        <v/>
      </c>
      <c r="I131" s="209" t="str">
        <f>_xlfn.XLOOKUP($H131,'(backend scoring)'!$S$2:$S$333,'(backend scoring)'!$A$2:$A$333,"")</f>
        <v/>
      </c>
      <c r="J131" s="209" t="str">
        <f>IFERROR(VLOOKUP($I131,'Institution Evaluation'!$A$55:$F$345,2,0),IFERROR(VLOOKUP($I131,'Privacy Analyst Evaluation'!$A$46:$F$120,2,0),""))</f>
        <v/>
      </c>
      <c r="K131" s="209" t="str">
        <f>IFERROR(VLOOKUP($I131,'Institution Evaluation'!$A$55:$F$345,3,0),IFERROR(VLOOKUP($I131,'Privacy Analyst Evaluation'!$A$46:$F$120,3,0),""))&amp;""</f>
        <v/>
      </c>
      <c r="L131" s="209" t="str">
        <f>IFERROR(VLOOKUP($I131,'Institution Evaluation'!$A$55:$F$345,4,0),IFERROR(VLOOKUP($I131,'Privacy Analyst Evaluation'!$A$46:$F$120,4,0),""))&amp;""</f>
        <v/>
      </c>
      <c r="M131" s="209" t="str">
        <f>IFERROR(VLOOKUP($I131,'Institution Evaluation'!$A$55:$F$345,6,0),IFERROR(VLOOKUP($I131,'Privacy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2">
      <c r="A132" s="209" t="str">
        <f>IFERROR(IF($A131+1&gt;'(backend scoring)'!$T$335,"",$A131+1),"")</f>
        <v/>
      </c>
      <c r="B132" s="209" t="str">
        <f>_xlfn.XLOOKUP($A132,'(backend scoring)'!$V$2:$V$333,'(backend scoring)'!$A$2:$A$333,"")</f>
        <v/>
      </c>
      <c r="C132" s="209" t="str">
        <f>IFERROR(VLOOKUP($B132,'Institution Evaluation'!$A$55:$F$345,2,0),IFERROR(VLOOKUP($B132,'Privacy Analyst Evaluation'!$A$46:$F$120,2,0),""))&amp;""</f>
        <v/>
      </c>
      <c r="D132" s="209" t="str">
        <f>IFERROR(VLOOKUP($B132,'Institution Evaluation'!$A$55:$F$345,3,0),IFERROR(VLOOKUP($B132,'Privacy Analyst Evaluation'!$A$46:$F$120,3,0),""))&amp;""</f>
        <v/>
      </c>
      <c r="E132" s="209" t="str">
        <f>IFERROR(VLOOKUP($B132,'Institution Evaluation'!$A$55:$F$345,4,0),IFERROR(VLOOKUP($B132,'Privacy Analyst Evaluation'!$A$46:$F$120,4,0),""))&amp;""</f>
        <v/>
      </c>
      <c r="F132" s="209" t="str">
        <f>IFERROR(VLOOKUP($B132,'Institution Evaluation'!$A$55:$F$345,6,0),IFERROR(VLOOKUP($B132,'Privacy Analyst Evaluation'!$A$46:$F$120,6,0),""))&amp;""</f>
        <v/>
      </c>
      <c r="G132" s="210"/>
      <c r="H132" s="209" t="str">
        <f>IFERROR(IF($H131+1&gt;'(backend scoring)'!$Q$335,"",$H131+1),"")</f>
        <v/>
      </c>
      <c r="I132" s="209" t="str">
        <f>_xlfn.XLOOKUP($H132,'(backend scoring)'!$S$2:$S$333,'(backend scoring)'!$A$2:$A$333,"")</f>
        <v/>
      </c>
      <c r="J132" s="209" t="str">
        <f>IFERROR(VLOOKUP($I132,'Institution Evaluation'!$A$55:$F$345,2,0),IFERROR(VLOOKUP($I132,'Privacy Analyst Evaluation'!$A$46:$F$120,2,0),""))</f>
        <v/>
      </c>
      <c r="K132" s="209" t="str">
        <f>IFERROR(VLOOKUP($I132,'Institution Evaluation'!$A$55:$F$345,3,0),IFERROR(VLOOKUP($I132,'Privacy Analyst Evaluation'!$A$46:$F$120,3,0),""))&amp;""</f>
        <v/>
      </c>
      <c r="L132" s="209" t="str">
        <f>IFERROR(VLOOKUP($I132,'Institution Evaluation'!$A$55:$F$345,4,0),IFERROR(VLOOKUP($I132,'Privacy Analyst Evaluation'!$A$46:$F$120,4,0),""))&amp;""</f>
        <v/>
      </c>
      <c r="M132" s="209" t="str">
        <f>IFERROR(VLOOKUP($I132,'Institution Evaluation'!$A$55:$F$345,6,0),IFERROR(VLOOKUP($I132,'Privacy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2">
      <c r="A133" s="209" t="str">
        <f>IFERROR(IF($A132+1&gt;'(backend scoring)'!$T$335,"",$A132+1),"")</f>
        <v/>
      </c>
      <c r="B133" s="209" t="str">
        <f>_xlfn.XLOOKUP($A133,'(backend scoring)'!$V$2:$V$333,'(backend scoring)'!$A$2:$A$333,"")</f>
        <v/>
      </c>
      <c r="C133" s="209" t="str">
        <f>IFERROR(VLOOKUP($B133,'Institution Evaluation'!$A$55:$F$345,2,0),IFERROR(VLOOKUP($B133,'Privacy Analyst Evaluation'!$A$46:$F$120,2,0),""))&amp;""</f>
        <v/>
      </c>
      <c r="D133" s="209" t="str">
        <f>IFERROR(VLOOKUP($B133,'Institution Evaluation'!$A$55:$F$345,3,0),IFERROR(VLOOKUP($B133,'Privacy Analyst Evaluation'!$A$46:$F$120,3,0),""))&amp;""</f>
        <v/>
      </c>
      <c r="E133" s="209" t="str">
        <f>IFERROR(VLOOKUP($B133,'Institution Evaluation'!$A$55:$F$345,4,0),IFERROR(VLOOKUP($B133,'Privacy Analyst Evaluation'!$A$46:$F$120,4,0),""))&amp;""</f>
        <v/>
      </c>
      <c r="F133" s="209" t="str">
        <f>IFERROR(VLOOKUP($B133,'Institution Evaluation'!$A$55:$F$345,6,0),IFERROR(VLOOKUP($B133,'Privacy Analyst Evaluation'!$A$46:$F$120,6,0),""))&amp;""</f>
        <v/>
      </c>
      <c r="G133" s="210"/>
      <c r="H133" s="209" t="str">
        <f>IFERROR(IF($H132+1&gt;'(backend scoring)'!$Q$335,"",$H132+1),"")</f>
        <v/>
      </c>
      <c r="I133" s="209" t="str">
        <f>_xlfn.XLOOKUP($H133,'(backend scoring)'!$S$2:$S$333,'(backend scoring)'!$A$2:$A$333,"")</f>
        <v/>
      </c>
      <c r="J133" s="209" t="str">
        <f>IFERROR(VLOOKUP($I133,'Institution Evaluation'!$A$55:$F$345,2,0),IFERROR(VLOOKUP($I133,'Privacy Analyst Evaluation'!$A$46:$F$120,2,0),""))</f>
        <v/>
      </c>
      <c r="K133" s="209" t="str">
        <f>IFERROR(VLOOKUP($I133,'Institution Evaluation'!$A$55:$F$345,3,0),IFERROR(VLOOKUP($I133,'Privacy Analyst Evaluation'!$A$46:$F$120,3,0),""))&amp;""</f>
        <v/>
      </c>
      <c r="L133" s="209" t="str">
        <f>IFERROR(VLOOKUP($I133,'Institution Evaluation'!$A$55:$F$345,4,0),IFERROR(VLOOKUP($I133,'Privacy Analyst Evaluation'!$A$46:$F$120,4,0),""))&amp;""</f>
        <v/>
      </c>
      <c r="M133" s="209" t="str">
        <f>IFERROR(VLOOKUP($I133,'Institution Evaluation'!$A$55:$F$345,6,0),IFERROR(VLOOKUP($I133,'Privacy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2">
      <c r="A134" s="209" t="str">
        <f>IFERROR(IF($A133+1&gt;'(backend scoring)'!$T$335,"",$A133+1),"")</f>
        <v/>
      </c>
      <c r="B134" s="209" t="str">
        <f>_xlfn.XLOOKUP($A134,'(backend scoring)'!$V$2:$V$333,'(backend scoring)'!$A$2:$A$333,"")</f>
        <v/>
      </c>
      <c r="C134" s="209" t="str">
        <f>IFERROR(VLOOKUP($B134,'Institution Evaluation'!$A$55:$F$345,2,0),IFERROR(VLOOKUP($B134,'Privacy Analyst Evaluation'!$A$46:$F$120,2,0),""))&amp;""</f>
        <v/>
      </c>
      <c r="D134" s="209" t="str">
        <f>IFERROR(VLOOKUP($B134,'Institution Evaluation'!$A$55:$F$345,3,0),IFERROR(VLOOKUP($B134,'Privacy Analyst Evaluation'!$A$46:$F$120,3,0),""))&amp;""</f>
        <v/>
      </c>
      <c r="E134" s="209" t="str">
        <f>IFERROR(VLOOKUP($B134,'Institution Evaluation'!$A$55:$F$345,4,0),IFERROR(VLOOKUP($B134,'Privacy Analyst Evaluation'!$A$46:$F$120,4,0),""))&amp;""</f>
        <v/>
      </c>
      <c r="F134" s="209" t="str">
        <f>IFERROR(VLOOKUP($B134,'Institution Evaluation'!$A$55:$F$345,6,0),IFERROR(VLOOKUP($B134,'Privacy Analyst Evaluation'!$A$46:$F$120,6,0),""))&amp;""</f>
        <v/>
      </c>
      <c r="G134" s="210"/>
      <c r="H134" s="209" t="str">
        <f>IFERROR(IF($H133+1&gt;'(backend scoring)'!$Q$335,"",$H133+1),"")</f>
        <v/>
      </c>
      <c r="I134" s="209" t="str">
        <f>_xlfn.XLOOKUP($H134,'(backend scoring)'!$S$2:$S$333,'(backend scoring)'!$A$2:$A$333,"")</f>
        <v/>
      </c>
      <c r="J134" s="209" t="str">
        <f>IFERROR(VLOOKUP($I134,'Institution Evaluation'!$A$55:$F$345,2,0),IFERROR(VLOOKUP($I134,'Privacy Analyst Evaluation'!$A$46:$F$120,2,0),""))</f>
        <v/>
      </c>
      <c r="K134" s="209" t="str">
        <f>IFERROR(VLOOKUP($I134,'Institution Evaluation'!$A$55:$F$345,3,0),IFERROR(VLOOKUP($I134,'Privacy Analyst Evaluation'!$A$46:$F$120,3,0),""))&amp;""</f>
        <v/>
      </c>
      <c r="L134" s="209" t="str">
        <f>IFERROR(VLOOKUP($I134,'Institution Evaluation'!$A$55:$F$345,4,0),IFERROR(VLOOKUP($I134,'Privacy Analyst Evaluation'!$A$46:$F$120,4,0),""))&amp;""</f>
        <v/>
      </c>
      <c r="M134" s="209" t="str">
        <f>IFERROR(VLOOKUP($I134,'Institution Evaluation'!$A$55:$F$345,6,0),IFERROR(VLOOKUP($I134,'Privacy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2">
      <c r="A135" s="209" t="str">
        <f>IFERROR(IF($A134+1&gt;'(backend scoring)'!$T$335,"",$A134+1),"")</f>
        <v/>
      </c>
      <c r="B135" s="209" t="str">
        <f>_xlfn.XLOOKUP($A135,'(backend scoring)'!$V$2:$V$333,'(backend scoring)'!$A$2:$A$333,"")</f>
        <v/>
      </c>
      <c r="C135" s="209" t="str">
        <f>IFERROR(VLOOKUP($B135,'Institution Evaluation'!$A$55:$F$345,2,0),IFERROR(VLOOKUP($B135,'Privacy Analyst Evaluation'!$A$46:$F$120,2,0),""))&amp;""</f>
        <v/>
      </c>
      <c r="D135" s="209" t="str">
        <f>IFERROR(VLOOKUP($B135,'Institution Evaluation'!$A$55:$F$345,3,0),IFERROR(VLOOKUP($B135,'Privacy Analyst Evaluation'!$A$46:$F$120,3,0),""))&amp;""</f>
        <v/>
      </c>
      <c r="E135" s="209" t="str">
        <f>IFERROR(VLOOKUP($B135,'Institution Evaluation'!$A$55:$F$345,4,0),IFERROR(VLOOKUP($B135,'Privacy Analyst Evaluation'!$A$46:$F$120,4,0),""))&amp;""</f>
        <v/>
      </c>
      <c r="F135" s="209" t="str">
        <f>IFERROR(VLOOKUP($B135,'Institution Evaluation'!$A$55:$F$345,6,0),IFERROR(VLOOKUP($B135,'Privacy Analyst Evaluation'!$A$46:$F$120,6,0),""))&amp;""</f>
        <v/>
      </c>
      <c r="G135" s="210"/>
      <c r="H135" s="209" t="str">
        <f>IFERROR(IF($H134+1&gt;'(backend scoring)'!$Q$335,"",$H134+1),"")</f>
        <v/>
      </c>
      <c r="I135" s="209" t="str">
        <f>_xlfn.XLOOKUP($H135,'(backend scoring)'!$S$2:$S$333,'(backend scoring)'!$A$2:$A$333,"")</f>
        <v/>
      </c>
      <c r="J135" s="209" t="str">
        <f>IFERROR(VLOOKUP($I135,'Institution Evaluation'!$A$55:$F$345,2,0),IFERROR(VLOOKUP($I135,'Privacy Analyst Evaluation'!$A$46:$F$120,2,0),""))</f>
        <v/>
      </c>
      <c r="K135" s="209" t="str">
        <f>IFERROR(VLOOKUP($I135,'Institution Evaluation'!$A$55:$F$345,3,0),IFERROR(VLOOKUP($I135,'Privacy Analyst Evaluation'!$A$46:$F$120,3,0),""))&amp;""</f>
        <v/>
      </c>
      <c r="L135" s="209" t="str">
        <f>IFERROR(VLOOKUP($I135,'Institution Evaluation'!$A$55:$F$345,4,0),IFERROR(VLOOKUP($I135,'Privacy Analyst Evaluation'!$A$46:$F$120,4,0),""))&amp;""</f>
        <v/>
      </c>
      <c r="M135" s="209" t="str">
        <f>IFERROR(VLOOKUP($I135,'Institution Evaluation'!$A$55:$F$345,6,0),IFERROR(VLOOKUP($I135,'Privacy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2">
      <c r="A136" s="209" t="str">
        <f>IFERROR(IF($A135+1&gt;'(backend scoring)'!$T$335,"",$A135+1),"")</f>
        <v/>
      </c>
      <c r="B136" s="209" t="str">
        <f>_xlfn.XLOOKUP($A136,'(backend scoring)'!$V$2:$V$333,'(backend scoring)'!$A$2:$A$333,"")</f>
        <v/>
      </c>
      <c r="C136" s="209" t="str">
        <f>IFERROR(VLOOKUP($B136,'Institution Evaluation'!$A$55:$F$345,2,0),IFERROR(VLOOKUP($B136,'Privacy Analyst Evaluation'!$A$46:$F$120,2,0),""))&amp;""</f>
        <v/>
      </c>
      <c r="D136" s="209" t="str">
        <f>IFERROR(VLOOKUP($B136,'Institution Evaluation'!$A$55:$F$345,3,0),IFERROR(VLOOKUP($B136,'Privacy Analyst Evaluation'!$A$46:$F$120,3,0),""))&amp;""</f>
        <v/>
      </c>
      <c r="E136" s="209" t="str">
        <f>IFERROR(VLOOKUP($B136,'Institution Evaluation'!$A$55:$F$345,4,0),IFERROR(VLOOKUP($B136,'Privacy Analyst Evaluation'!$A$46:$F$120,4,0),""))&amp;""</f>
        <v/>
      </c>
      <c r="F136" s="209" t="str">
        <f>IFERROR(VLOOKUP($B136,'Institution Evaluation'!$A$55:$F$345,6,0),IFERROR(VLOOKUP($B136,'Privacy Analyst Evaluation'!$A$46:$F$120,6,0),""))&amp;""</f>
        <v/>
      </c>
      <c r="G136" s="210"/>
      <c r="H136" s="209" t="str">
        <f>IFERROR(IF($H135+1&gt;'(backend scoring)'!$Q$335,"",$H135+1),"")</f>
        <v/>
      </c>
      <c r="I136" s="209" t="str">
        <f>_xlfn.XLOOKUP($H136,'(backend scoring)'!$S$2:$S$333,'(backend scoring)'!$A$2:$A$333,"")</f>
        <v/>
      </c>
      <c r="J136" s="209" t="str">
        <f>IFERROR(VLOOKUP($I136,'Institution Evaluation'!$A$55:$F$345,2,0),IFERROR(VLOOKUP($I136,'Privacy Analyst Evaluation'!$A$46:$F$120,2,0),""))</f>
        <v/>
      </c>
      <c r="K136" s="209" t="str">
        <f>IFERROR(VLOOKUP($I136,'Institution Evaluation'!$A$55:$F$345,3,0),IFERROR(VLOOKUP($I136,'Privacy Analyst Evaluation'!$A$46:$F$120,3,0),""))&amp;""</f>
        <v/>
      </c>
      <c r="L136" s="209" t="str">
        <f>IFERROR(VLOOKUP($I136,'Institution Evaluation'!$A$55:$F$345,4,0),IFERROR(VLOOKUP($I136,'Privacy Analyst Evaluation'!$A$46:$F$120,4,0),""))&amp;""</f>
        <v/>
      </c>
      <c r="M136" s="209" t="str">
        <f>IFERROR(VLOOKUP($I136,'Institution Evaluation'!$A$55:$F$345,6,0),IFERROR(VLOOKUP($I136,'Privacy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2">
      <c r="A137" s="209" t="str">
        <f>IFERROR(IF($A136+1&gt;'(backend scoring)'!$T$335,"",$A136+1),"")</f>
        <v/>
      </c>
      <c r="B137" s="209" t="str">
        <f>_xlfn.XLOOKUP($A137,'(backend scoring)'!$V$2:$V$333,'(backend scoring)'!$A$2:$A$333,"")</f>
        <v/>
      </c>
      <c r="C137" s="209" t="str">
        <f>IFERROR(VLOOKUP($B137,'Institution Evaluation'!$A$55:$F$345,2,0),IFERROR(VLOOKUP($B137,'Privacy Analyst Evaluation'!$A$46:$F$120,2,0),""))&amp;""</f>
        <v/>
      </c>
      <c r="D137" s="209" t="str">
        <f>IFERROR(VLOOKUP($B137,'Institution Evaluation'!$A$55:$F$345,3,0),IFERROR(VLOOKUP($B137,'Privacy Analyst Evaluation'!$A$46:$F$120,3,0),""))&amp;""</f>
        <v/>
      </c>
      <c r="E137" s="209" t="str">
        <f>IFERROR(VLOOKUP($B137,'Institution Evaluation'!$A$55:$F$345,4,0),IFERROR(VLOOKUP($B137,'Privacy Analyst Evaluation'!$A$46:$F$120,4,0),""))&amp;""</f>
        <v/>
      </c>
      <c r="F137" s="209" t="str">
        <f>IFERROR(VLOOKUP($B137,'Institution Evaluation'!$A$55:$F$345,6,0),IFERROR(VLOOKUP($B137,'Privacy Analyst Evaluation'!$A$46:$F$120,6,0),""))&amp;""</f>
        <v/>
      </c>
      <c r="G137" s="210"/>
      <c r="H137" s="209" t="str">
        <f>IFERROR(IF($H136+1&gt;'(backend scoring)'!$Q$335,"",$H136+1),"")</f>
        <v/>
      </c>
      <c r="I137" s="209" t="str">
        <f>_xlfn.XLOOKUP($H137,'(backend scoring)'!$S$2:$S$333,'(backend scoring)'!$A$2:$A$333,"")</f>
        <v/>
      </c>
      <c r="J137" s="209" t="str">
        <f>IFERROR(VLOOKUP($I137,'Institution Evaluation'!$A$55:$F$345,2,0),IFERROR(VLOOKUP($I137,'Privacy Analyst Evaluation'!$A$46:$F$120,2,0),""))</f>
        <v/>
      </c>
      <c r="K137" s="209" t="str">
        <f>IFERROR(VLOOKUP($I137,'Institution Evaluation'!$A$55:$F$345,3,0),IFERROR(VLOOKUP($I137,'Privacy Analyst Evaluation'!$A$46:$F$120,3,0),""))&amp;""</f>
        <v/>
      </c>
      <c r="L137" s="209" t="str">
        <f>IFERROR(VLOOKUP($I137,'Institution Evaluation'!$A$55:$F$345,4,0),IFERROR(VLOOKUP($I137,'Privacy Analyst Evaluation'!$A$46:$F$120,4,0),""))&amp;""</f>
        <v/>
      </c>
      <c r="M137" s="209" t="str">
        <f>IFERROR(VLOOKUP($I137,'Institution Evaluation'!$A$55:$F$345,6,0),IFERROR(VLOOKUP($I137,'Privacy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2">
      <c r="A138" s="209" t="str">
        <f>IFERROR(IF($A137+1&gt;'(backend scoring)'!$T$335,"",$A137+1),"")</f>
        <v/>
      </c>
      <c r="B138" s="209" t="str">
        <f>_xlfn.XLOOKUP($A138,'(backend scoring)'!$V$2:$V$333,'(backend scoring)'!$A$2:$A$333,"")</f>
        <v/>
      </c>
      <c r="C138" s="209" t="str">
        <f>IFERROR(VLOOKUP($B138,'Institution Evaluation'!$A$55:$F$345,2,0),IFERROR(VLOOKUP($B138,'Privacy Analyst Evaluation'!$A$46:$F$120,2,0),""))&amp;""</f>
        <v/>
      </c>
      <c r="D138" s="209" t="str">
        <f>IFERROR(VLOOKUP($B138,'Institution Evaluation'!$A$55:$F$345,3,0),IFERROR(VLOOKUP($B138,'Privacy Analyst Evaluation'!$A$46:$F$120,3,0),""))&amp;""</f>
        <v/>
      </c>
      <c r="E138" s="209" t="str">
        <f>IFERROR(VLOOKUP($B138,'Institution Evaluation'!$A$55:$F$345,4,0),IFERROR(VLOOKUP($B138,'Privacy Analyst Evaluation'!$A$46:$F$120,4,0),""))&amp;""</f>
        <v/>
      </c>
      <c r="F138" s="209" t="str">
        <f>IFERROR(VLOOKUP($B138,'Institution Evaluation'!$A$55:$F$345,6,0),IFERROR(VLOOKUP($B138,'Privacy Analyst Evaluation'!$A$46:$F$120,6,0),""))&amp;""</f>
        <v/>
      </c>
      <c r="G138" s="210"/>
      <c r="H138" s="209" t="str">
        <f>IFERROR(IF($H137+1&gt;'(backend scoring)'!$Q$335,"",$H137+1),"")</f>
        <v/>
      </c>
      <c r="I138" s="209" t="str">
        <f>_xlfn.XLOOKUP($H138,'(backend scoring)'!$S$2:$S$333,'(backend scoring)'!$A$2:$A$333,"")</f>
        <v/>
      </c>
      <c r="J138" s="209" t="str">
        <f>IFERROR(VLOOKUP($I138,'Institution Evaluation'!$A$55:$F$345,2,0),IFERROR(VLOOKUP($I138,'Privacy Analyst Evaluation'!$A$46:$F$120,2,0),""))</f>
        <v/>
      </c>
      <c r="K138" s="209" t="str">
        <f>IFERROR(VLOOKUP($I138,'Institution Evaluation'!$A$55:$F$345,3,0),IFERROR(VLOOKUP($I138,'Privacy Analyst Evaluation'!$A$46:$F$120,3,0),""))&amp;""</f>
        <v/>
      </c>
      <c r="L138" s="209" t="str">
        <f>IFERROR(VLOOKUP($I138,'Institution Evaluation'!$A$55:$F$345,4,0),IFERROR(VLOOKUP($I138,'Privacy Analyst Evaluation'!$A$46:$F$120,4,0),""))&amp;""</f>
        <v/>
      </c>
      <c r="M138" s="209" t="str">
        <f>IFERROR(VLOOKUP($I138,'Institution Evaluation'!$A$55:$F$345,6,0),IFERROR(VLOOKUP($I138,'Privacy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2">
      <c r="A139" s="209" t="str">
        <f>IFERROR(IF($A138+1&gt;'(backend scoring)'!$T$335,"",$A138+1),"")</f>
        <v/>
      </c>
      <c r="B139" s="209" t="str">
        <f>_xlfn.XLOOKUP($A139,'(backend scoring)'!$V$2:$V$333,'(backend scoring)'!$A$2:$A$333,"")</f>
        <v/>
      </c>
      <c r="C139" s="209" t="str">
        <f>IFERROR(VLOOKUP($B139,'Institution Evaluation'!$A$55:$F$345,2,0),IFERROR(VLOOKUP($B139,'Privacy Analyst Evaluation'!$A$46:$F$120,2,0),""))&amp;""</f>
        <v/>
      </c>
      <c r="D139" s="209" t="str">
        <f>IFERROR(VLOOKUP($B139,'Institution Evaluation'!$A$55:$F$345,3,0),IFERROR(VLOOKUP($B139,'Privacy Analyst Evaluation'!$A$46:$F$120,3,0),""))&amp;""</f>
        <v/>
      </c>
      <c r="E139" s="209" t="str">
        <f>IFERROR(VLOOKUP($B139,'Institution Evaluation'!$A$55:$F$345,4,0),IFERROR(VLOOKUP($B139,'Privacy Analyst Evaluation'!$A$46:$F$120,4,0),""))&amp;""</f>
        <v/>
      </c>
      <c r="F139" s="209" t="str">
        <f>IFERROR(VLOOKUP($B139,'Institution Evaluation'!$A$55:$F$345,6,0),IFERROR(VLOOKUP($B139,'Privacy Analyst Evaluation'!$A$46:$F$120,6,0),""))&amp;""</f>
        <v/>
      </c>
      <c r="G139" s="210"/>
      <c r="H139" s="209" t="str">
        <f>IFERROR(IF($H138+1&gt;'(backend scoring)'!$Q$335,"",$H138+1),"")</f>
        <v/>
      </c>
      <c r="I139" s="209" t="str">
        <f>_xlfn.XLOOKUP($H139,'(backend scoring)'!$S$2:$S$333,'(backend scoring)'!$A$2:$A$333,"")</f>
        <v/>
      </c>
      <c r="J139" s="209" t="str">
        <f>IFERROR(VLOOKUP($I139,'Institution Evaluation'!$A$55:$F$345,2,0),IFERROR(VLOOKUP($I139,'Privacy Analyst Evaluation'!$A$46:$F$120,2,0),""))</f>
        <v/>
      </c>
      <c r="K139" s="209" t="str">
        <f>IFERROR(VLOOKUP($I139,'Institution Evaluation'!$A$55:$F$345,3,0),IFERROR(VLOOKUP($I139,'Privacy Analyst Evaluation'!$A$46:$F$120,3,0),""))&amp;""</f>
        <v/>
      </c>
      <c r="L139" s="209" t="str">
        <f>IFERROR(VLOOKUP($I139,'Institution Evaluation'!$A$55:$F$345,4,0),IFERROR(VLOOKUP($I139,'Privacy Analyst Evaluation'!$A$46:$F$120,4,0),""))&amp;""</f>
        <v/>
      </c>
      <c r="M139" s="209" t="str">
        <f>IFERROR(VLOOKUP($I139,'Institution Evaluation'!$A$55:$F$345,6,0),IFERROR(VLOOKUP($I139,'Privacy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2">
      <c r="A140" s="209" t="str">
        <f>IFERROR(IF($A139+1&gt;'(backend scoring)'!$T$335,"",$A139+1),"")</f>
        <v/>
      </c>
      <c r="B140" s="209" t="str">
        <f>_xlfn.XLOOKUP($A140,'(backend scoring)'!$V$2:$V$333,'(backend scoring)'!$A$2:$A$333,"")</f>
        <v/>
      </c>
      <c r="C140" s="209" t="str">
        <f>IFERROR(VLOOKUP($B140,'Institution Evaluation'!$A$55:$F$345,2,0),IFERROR(VLOOKUP($B140,'Privacy Analyst Evaluation'!$A$46:$F$120,2,0),""))&amp;""</f>
        <v/>
      </c>
      <c r="D140" s="209" t="str">
        <f>IFERROR(VLOOKUP($B140,'Institution Evaluation'!$A$55:$F$345,3,0),IFERROR(VLOOKUP($B140,'Privacy Analyst Evaluation'!$A$46:$F$120,3,0),""))&amp;""</f>
        <v/>
      </c>
      <c r="E140" s="209" t="str">
        <f>IFERROR(VLOOKUP($B140,'Institution Evaluation'!$A$55:$F$345,4,0),IFERROR(VLOOKUP($B140,'Privacy Analyst Evaluation'!$A$46:$F$120,4,0),""))&amp;""</f>
        <v/>
      </c>
      <c r="F140" s="209" t="str">
        <f>IFERROR(VLOOKUP($B140,'Institution Evaluation'!$A$55:$F$345,6,0),IFERROR(VLOOKUP($B140,'Privacy Analyst Evaluation'!$A$46:$F$120,6,0),""))&amp;""</f>
        <v/>
      </c>
      <c r="G140" s="210"/>
      <c r="H140" s="209" t="str">
        <f>IFERROR(IF($H139+1&gt;'(backend scoring)'!$Q$335,"",$H139+1),"")</f>
        <v/>
      </c>
      <c r="I140" s="209" t="str">
        <f>_xlfn.XLOOKUP($H140,'(backend scoring)'!$S$2:$S$333,'(backend scoring)'!$A$2:$A$333,"")</f>
        <v/>
      </c>
      <c r="J140" s="209" t="str">
        <f>IFERROR(VLOOKUP($I140,'Institution Evaluation'!$A$55:$F$345,2,0),IFERROR(VLOOKUP($I140,'Privacy Analyst Evaluation'!$A$46:$F$120,2,0),""))</f>
        <v/>
      </c>
      <c r="K140" s="209" t="str">
        <f>IFERROR(VLOOKUP($I140,'Institution Evaluation'!$A$55:$F$345,3,0),IFERROR(VLOOKUP($I140,'Privacy Analyst Evaluation'!$A$46:$F$120,3,0),""))&amp;""</f>
        <v/>
      </c>
      <c r="L140" s="209" t="str">
        <f>IFERROR(VLOOKUP($I140,'Institution Evaluation'!$A$55:$F$345,4,0),IFERROR(VLOOKUP($I140,'Privacy Analyst Evaluation'!$A$46:$F$120,4,0),""))&amp;""</f>
        <v/>
      </c>
      <c r="M140" s="209" t="str">
        <f>IFERROR(VLOOKUP($I140,'Institution Evaluation'!$A$55:$F$345,6,0),IFERROR(VLOOKUP($I140,'Privacy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2">
      <c r="A141" s="209" t="str">
        <f>IFERROR(IF($A140+1&gt;'(backend scoring)'!$T$335,"",$A140+1),"")</f>
        <v/>
      </c>
      <c r="B141" s="209" t="str">
        <f>_xlfn.XLOOKUP($A141,'(backend scoring)'!$V$2:$V$333,'(backend scoring)'!$A$2:$A$333,"")</f>
        <v/>
      </c>
      <c r="C141" s="209" t="str">
        <f>IFERROR(VLOOKUP($B141,'Institution Evaluation'!$A$55:$F$345,2,0),IFERROR(VLOOKUP($B141,'Privacy Analyst Evaluation'!$A$46:$F$120,2,0),""))&amp;""</f>
        <v/>
      </c>
      <c r="D141" s="209" t="str">
        <f>IFERROR(VLOOKUP($B141,'Institution Evaluation'!$A$55:$F$345,3,0),IFERROR(VLOOKUP($B141,'Privacy Analyst Evaluation'!$A$46:$F$120,3,0),""))&amp;""</f>
        <v/>
      </c>
      <c r="E141" s="209" t="str">
        <f>IFERROR(VLOOKUP($B141,'Institution Evaluation'!$A$55:$F$345,4,0),IFERROR(VLOOKUP($B141,'Privacy Analyst Evaluation'!$A$46:$F$120,4,0),""))&amp;""</f>
        <v/>
      </c>
      <c r="F141" s="209" t="str">
        <f>IFERROR(VLOOKUP($B141,'Institution Evaluation'!$A$55:$F$345,6,0),IFERROR(VLOOKUP($B141,'Privacy Analyst Evaluation'!$A$46:$F$120,6,0),""))&amp;""</f>
        <v/>
      </c>
      <c r="G141" s="210"/>
      <c r="H141" s="209" t="str">
        <f>IFERROR(IF($H140+1&gt;'(backend scoring)'!$Q$335,"",$H140+1),"")</f>
        <v/>
      </c>
      <c r="I141" s="209" t="str">
        <f>_xlfn.XLOOKUP($H141,'(backend scoring)'!$S$2:$S$333,'(backend scoring)'!$A$2:$A$333,"")</f>
        <v/>
      </c>
      <c r="J141" s="209" t="str">
        <f>IFERROR(VLOOKUP($I141,'Institution Evaluation'!$A$55:$F$345,2,0),IFERROR(VLOOKUP($I141,'Privacy Analyst Evaluation'!$A$46:$F$120,2,0),""))</f>
        <v/>
      </c>
      <c r="K141" s="209" t="str">
        <f>IFERROR(VLOOKUP($I141,'Institution Evaluation'!$A$55:$F$345,3,0),IFERROR(VLOOKUP($I141,'Privacy Analyst Evaluation'!$A$46:$F$120,3,0),""))&amp;""</f>
        <v/>
      </c>
      <c r="L141" s="209" t="str">
        <f>IFERROR(VLOOKUP($I141,'Institution Evaluation'!$A$55:$F$345,4,0),IFERROR(VLOOKUP($I141,'Privacy Analyst Evaluation'!$A$46:$F$120,4,0),""))&amp;""</f>
        <v/>
      </c>
      <c r="M141" s="209" t="str">
        <f>IFERROR(VLOOKUP($I141,'Institution Evaluation'!$A$55:$F$345,6,0),IFERROR(VLOOKUP($I141,'Privacy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2">
      <c r="A142" s="209" t="str">
        <f>IFERROR(IF($A141+1&gt;'(backend scoring)'!$T$335,"",$A141+1),"")</f>
        <v/>
      </c>
      <c r="B142" s="209" t="str">
        <f>_xlfn.XLOOKUP($A142,'(backend scoring)'!$V$2:$V$333,'(backend scoring)'!$A$2:$A$333,"")</f>
        <v/>
      </c>
      <c r="C142" s="209" t="str">
        <f>IFERROR(VLOOKUP($B142,'Institution Evaluation'!$A$55:$F$345,2,0),IFERROR(VLOOKUP($B142,'Privacy Analyst Evaluation'!$A$46:$F$120,2,0),""))&amp;""</f>
        <v/>
      </c>
      <c r="D142" s="209" t="str">
        <f>IFERROR(VLOOKUP($B142,'Institution Evaluation'!$A$55:$F$345,3,0),IFERROR(VLOOKUP($B142,'Privacy Analyst Evaluation'!$A$46:$F$120,3,0),""))&amp;""</f>
        <v/>
      </c>
      <c r="E142" s="209" t="str">
        <f>IFERROR(VLOOKUP($B142,'Institution Evaluation'!$A$55:$F$345,4,0),IFERROR(VLOOKUP($B142,'Privacy Analyst Evaluation'!$A$46:$F$120,4,0),""))&amp;""</f>
        <v/>
      </c>
      <c r="F142" s="209" t="str">
        <f>IFERROR(VLOOKUP($B142,'Institution Evaluation'!$A$55:$F$345,6,0),IFERROR(VLOOKUP($B142,'Privacy Analyst Evaluation'!$A$46:$F$120,6,0),""))&amp;""</f>
        <v/>
      </c>
      <c r="G142" s="210"/>
      <c r="H142" s="209" t="str">
        <f>IFERROR(IF($H141+1&gt;'(backend scoring)'!$Q$335,"",$H141+1),"")</f>
        <v/>
      </c>
      <c r="I142" s="209" t="str">
        <f>_xlfn.XLOOKUP($H142,'(backend scoring)'!$S$2:$S$333,'(backend scoring)'!$A$2:$A$333,"")</f>
        <v/>
      </c>
      <c r="J142" s="209" t="str">
        <f>IFERROR(VLOOKUP($I142,'Institution Evaluation'!$A$55:$F$345,2,0),IFERROR(VLOOKUP($I142,'Privacy Analyst Evaluation'!$A$46:$F$120,2,0),""))</f>
        <v/>
      </c>
      <c r="K142" s="209" t="str">
        <f>IFERROR(VLOOKUP($I142,'Institution Evaluation'!$A$55:$F$345,3,0),IFERROR(VLOOKUP($I142,'Privacy Analyst Evaluation'!$A$46:$F$120,3,0),""))&amp;""</f>
        <v/>
      </c>
      <c r="L142" s="209" t="str">
        <f>IFERROR(VLOOKUP($I142,'Institution Evaluation'!$A$55:$F$345,4,0),IFERROR(VLOOKUP($I142,'Privacy Analyst Evaluation'!$A$46:$F$120,4,0),""))&amp;""</f>
        <v/>
      </c>
      <c r="M142" s="209" t="str">
        <f>IFERROR(VLOOKUP($I142,'Institution Evaluation'!$A$55:$F$345,6,0),IFERROR(VLOOKUP($I142,'Privacy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2">
      <c r="A143" s="209" t="str">
        <f>IFERROR(IF($A142+1&gt;'(backend scoring)'!$T$335,"",$A142+1),"")</f>
        <v/>
      </c>
      <c r="B143" s="209" t="str">
        <f>_xlfn.XLOOKUP($A143,'(backend scoring)'!$V$2:$V$333,'(backend scoring)'!$A$2:$A$333,"")</f>
        <v/>
      </c>
      <c r="C143" s="209" t="str">
        <f>IFERROR(VLOOKUP($B143,'Institution Evaluation'!$A$55:$F$345,2,0),IFERROR(VLOOKUP($B143,'Privacy Analyst Evaluation'!$A$46:$F$120,2,0),""))&amp;""</f>
        <v/>
      </c>
      <c r="D143" s="209" t="str">
        <f>IFERROR(VLOOKUP($B143,'Institution Evaluation'!$A$55:$F$345,3,0),IFERROR(VLOOKUP($B143,'Privacy Analyst Evaluation'!$A$46:$F$120,3,0),""))&amp;""</f>
        <v/>
      </c>
      <c r="E143" s="209" t="str">
        <f>IFERROR(VLOOKUP($B143,'Institution Evaluation'!$A$55:$F$345,4,0),IFERROR(VLOOKUP($B143,'Privacy Analyst Evaluation'!$A$46:$F$120,4,0),""))&amp;""</f>
        <v/>
      </c>
      <c r="F143" s="209" t="str">
        <f>IFERROR(VLOOKUP($B143,'Institution Evaluation'!$A$55:$F$345,6,0),IFERROR(VLOOKUP($B143,'Privacy Analyst Evaluation'!$A$46:$F$120,6,0),""))&amp;""</f>
        <v/>
      </c>
      <c r="G143" s="210"/>
      <c r="H143" s="209" t="str">
        <f>IFERROR(IF($H142+1&gt;'(backend scoring)'!$Q$335,"",$H142+1),"")</f>
        <v/>
      </c>
      <c r="I143" s="209" t="str">
        <f>_xlfn.XLOOKUP($H143,'(backend scoring)'!$S$2:$S$333,'(backend scoring)'!$A$2:$A$333,"")</f>
        <v/>
      </c>
      <c r="J143" s="209" t="str">
        <f>IFERROR(VLOOKUP($I143,'Institution Evaluation'!$A$55:$F$345,2,0),IFERROR(VLOOKUP($I143,'Privacy Analyst Evaluation'!$A$46:$F$120,2,0),""))</f>
        <v/>
      </c>
      <c r="K143" s="209" t="str">
        <f>IFERROR(VLOOKUP($I143,'Institution Evaluation'!$A$55:$F$345,3,0),IFERROR(VLOOKUP($I143,'Privacy Analyst Evaluation'!$A$46:$F$120,3,0),""))&amp;""</f>
        <v/>
      </c>
      <c r="L143" s="209" t="str">
        <f>IFERROR(VLOOKUP($I143,'Institution Evaluation'!$A$55:$F$345,4,0),IFERROR(VLOOKUP($I143,'Privacy Analyst Evaluation'!$A$46:$F$120,4,0),""))&amp;""</f>
        <v/>
      </c>
      <c r="M143" s="209" t="str">
        <f>IFERROR(VLOOKUP($I143,'Institution Evaluation'!$A$55:$F$345,6,0),IFERROR(VLOOKUP($I143,'Privacy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2">
      <c r="A144" s="209" t="str">
        <f>IFERROR(IF($A143+1&gt;'(backend scoring)'!$T$335,"",$A143+1),"")</f>
        <v/>
      </c>
      <c r="B144" s="209" t="str">
        <f>_xlfn.XLOOKUP($A144,'(backend scoring)'!$V$2:$V$333,'(backend scoring)'!$A$2:$A$333,"")</f>
        <v/>
      </c>
      <c r="C144" s="209" t="str">
        <f>IFERROR(VLOOKUP($B144,'Institution Evaluation'!$A$55:$F$345,2,0),IFERROR(VLOOKUP($B144,'Privacy Analyst Evaluation'!$A$46:$F$120,2,0),""))&amp;""</f>
        <v/>
      </c>
      <c r="D144" s="209" t="str">
        <f>IFERROR(VLOOKUP($B144,'Institution Evaluation'!$A$55:$F$345,3,0),IFERROR(VLOOKUP($B144,'Privacy Analyst Evaluation'!$A$46:$F$120,3,0),""))&amp;""</f>
        <v/>
      </c>
      <c r="E144" s="209" t="str">
        <f>IFERROR(VLOOKUP($B144,'Institution Evaluation'!$A$55:$F$345,4,0),IFERROR(VLOOKUP($B144,'Privacy Analyst Evaluation'!$A$46:$F$120,4,0),""))&amp;""</f>
        <v/>
      </c>
      <c r="F144" s="209" t="str">
        <f>IFERROR(VLOOKUP($B144,'Institution Evaluation'!$A$55:$F$345,6,0),IFERROR(VLOOKUP($B144,'Privacy Analyst Evaluation'!$A$46:$F$120,6,0),""))&amp;""</f>
        <v/>
      </c>
      <c r="G144" s="210"/>
      <c r="H144" s="209" t="str">
        <f>IFERROR(IF($H143+1&gt;'(backend scoring)'!$Q$335,"",$H143+1),"")</f>
        <v/>
      </c>
      <c r="I144" s="209" t="str">
        <f>_xlfn.XLOOKUP($H144,'(backend scoring)'!$S$2:$S$333,'(backend scoring)'!$A$2:$A$333,"")</f>
        <v/>
      </c>
      <c r="J144" s="209" t="str">
        <f>IFERROR(VLOOKUP($I144,'Institution Evaluation'!$A$55:$F$345,2,0),IFERROR(VLOOKUP($I144,'Privacy Analyst Evaluation'!$A$46:$F$120,2,0),""))</f>
        <v/>
      </c>
      <c r="K144" s="209" t="str">
        <f>IFERROR(VLOOKUP($I144,'Institution Evaluation'!$A$55:$F$345,3,0),IFERROR(VLOOKUP($I144,'Privacy Analyst Evaluation'!$A$46:$F$120,3,0),""))&amp;""</f>
        <v/>
      </c>
      <c r="L144" s="209" t="str">
        <f>IFERROR(VLOOKUP($I144,'Institution Evaluation'!$A$55:$F$345,4,0),IFERROR(VLOOKUP($I144,'Privacy Analyst Evaluation'!$A$46:$F$120,4,0),""))&amp;""</f>
        <v/>
      </c>
      <c r="M144" s="209" t="str">
        <f>IFERROR(VLOOKUP($I144,'Institution Evaluation'!$A$55:$F$345,6,0),IFERROR(VLOOKUP($I144,'Privacy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2">
      <c r="A145" s="209" t="str">
        <f>IFERROR(IF($A144+1&gt;'(backend scoring)'!$T$335,"",$A144+1),"")</f>
        <v/>
      </c>
      <c r="B145" s="209" t="str">
        <f>_xlfn.XLOOKUP($A145,'(backend scoring)'!$V$2:$V$333,'(backend scoring)'!$A$2:$A$333,"")</f>
        <v/>
      </c>
      <c r="C145" s="209" t="str">
        <f>IFERROR(VLOOKUP($B145,'Institution Evaluation'!$A$55:$F$345,2,0),IFERROR(VLOOKUP($B145,'Privacy Analyst Evaluation'!$A$46:$F$120,2,0),""))&amp;""</f>
        <v/>
      </c>
      <c r="D145" s="209" t="str">
        <f>IFERROR(VLOOKUP($B145,'Institution Evaluation'!$A$55:$F$345,3,0),IFERROR(VLOOKUP($B145,'Privacy Analyst Evaluation'!$A$46:$F$120,3,0),""))&amp;""</f>
        <v/>
      </c>
      <c r="E145" s="209" t="str">
        <f>IFERROR(VLOOKUP($B145,'Institution Evaluation'!$A$55:$F$345,4,0),IFERROR(VLOOKUP($B145,'Privacy Analyst Evaluation'!$A$46:$F$120,4,0),""))&amp;""</f>
        <v/>
      </c>
      <c r="F145" s="209" t="str">
        <f>IFERROR(VLOOKUP($B145,'Institution Evaluation'!$A$55:$F$345,6,0),IFERROR(VLOOKUP($B145,'Privacy Analyst Evaluation'!$A$46:$F$120,6,0),""))&amp;""</f>
        <v/>
      </c>
      <c r="G145" s="210"/>
      <c r="H145" s="209" t="str">
        <f>IFERROR(IF($H144+1&gt;'(backend scoring)'!$Q$335,"",$H144+1),"")</f>
        <v/>
      </c>
      <c r="I145" s="209" t="str">
        <f>_xlfn.XLOOKUP($H145,'(backend scoring)'!$S$2:$S$333,'(backend scoring)'!$A$2:$A$333,"")</f>
        <v/>
      </c>
      <c r="J145" s="209" t="str">
        <f>IFERROR(VLOOKUP($I145,'Institution Evaluation'!$A$55:$F$345,2,0),IFERROR(VLOOKUP($I145,'Privacy Analyst Evaluation'!$A$46:$F$120,2,0),""))</f>
        <v/>
      </c>
      <c r="K145" s="209" t="str">
        <f>IFERROR(VLOOKUP($I145,'Institution Evaluation'!$A$55:$F$345,3,0),IFERROR(VLOOKUP($I145,'Privacy Analyst Evaluation'!$A$46:$F$120,3,0),""))&amp;""</f>
        <v/>
      </c>
      <c r="L145" s="209" t="str">
        <f>IFERROR(VLOOKUP($I145,'Institution Evaluation'!$A$55:$F$345,4,0),IFERROR(VLOOKUP($I145,'Privacy Analyst Evaluation'!$A$46:$F$120,4,0),""))&amp;""</f>
        <v/>
      </c>
      <c r="M145" s="209" t="str">
        <f>IFERROR(VLOOKUP($I145,'Institution Evaluation'!$A$55:$F$345,6,0),IFERROR(VLOOKUP($I145,'Privacy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2">
      <c r="A146" s="209" t="str">
        <f>IFERROR(IF($A145+1&gt;'(backend scoring)'!$T$335,"",$A145+1),"")</f>
        <v/>
      </c>
      <c r="B146" s="209" t="str">
        <f>_xlfn.XLOOKUP($A146,'(backend scoring)'!$V$2:$V$333,'(backend scoring)'!$A$2:$A$333,"")</f>
        <v/>
      </c>
      <c r="C146" s="209" t="str">
        <f>IFERROR(VLOOKUP($B146,'Institution Evaluation'!$A$55:$F$345,2,0),IFERROR(VLOOKUP($B146,'Privacy Analyst Evaluation'!$A$46:$F$120,2,0),""))&amp;""</f>
        <v/>
      </c>
      <c r="D146" s="209" t="str">
        <f>IFERROR(VLOOKUP($B146,'Institution Evaluation'!$A$55:$F$345,3,0),IFERROR(VLOOKUP($B146,'Privacy Analyst Evaluation'!$A$46:$F$120,3,0),""))&amp;""</f>
        <v/>
      </c>
      <c r="E146" s="209" t="str">
        <f>IFERROR(VLOOKUP($B146,'Institution Evaluation'!$A$55:$F$345,4,0),IFERROR(VLOOKUP($B146,'Privacy Analyst Evaluation'!$A$46:$F$120,4,0),""))&amp;""</f>
        <v/>
      </c>
      <c r="F146" s="209" t="str">
        <f>IFERROR(VLOOKUP($B146,'Institution Evaluation'!$A$55:$F$345,6,0),IFERROR(VLOOKUP($B146,'Privacy Analyst Evaluation'!$A$46:$F$120,6,0),""))&amp;""</f>
        <v/>
      </c>
      <c r="G146" s="210"/>
      <c r="H146" s="209" t="str">
        <f>IFERROR(IF($H145+1&gt;'(backend scoring)'!$Q$335,"",$H145+1),"")</f>
        <v/>
      </c>
      <c r="I146" s="209" t="str">
        <f>_xlfn.XLOOKUP($H146,'(backend scoring)'!$S$2:$S$333,'(backend scoring)'!$A$2:$A$333,"")</f>
        <v/>
      </c>
      <c r="J146" s="209" t="str">
        <f>IFERROR(VLOOKUP($I146,'Institution Evaluation'!$A$55:$F$345,2,0),IFERROR(VLOOKUP($I146,'Privacy Analyst Evaluation'!$A$46:$F$120,2,0),""))</f>
        <v/>
      </c>
      <c r="K146" s="209" t="str">
        <f>IFERROR(VLOOKUP($I146,'Institution Evaluation'!$A$55:$F$345,3,0),IFERROR(VLOOKUP($I146,'Privacy Analyst Evaluation'!$A$46:$F$120,3,0),""))&amp;""</f>
        <v/>
      </c>
      <c r="L146" s="209" t="str">
        <f>IFERROR(VLOOKUP($I146,'Institution Evaluation'!$A$55:$F$345,4,0),IFERROR(VLOOKUP($I146,'Privacy Analyst Evaluation'!$A$46:$F$120,4,0),""))&amp;""</f>
        <v/>
      </c>
      <c r="M146" s="209" t="str">
        <f>IFERROR(VLOOKUP($I146,'Institution Evaluation'!$A$55:$F$345,6,0),IFERROR(VLOOKUP($I146,'Privacy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2">
      <c r="A147" s="209" t="str">
        <f>IFERROR(IF($A146+1&gt;'(backend scoring)'!$T$335,"",$A146+1),"")</f>
        <v/>
      </c>
      <c r="B147" s="209" t="str">
        <f>_xlfn.XLOOKUP($A147,'(backend scoring)'!$V$2:$V$333,'(backend scoring)'!$A$2:$A$333,"")</f>
        <v/>
      </c>
      <c r="C147" s="209" t="str">
        <f>IFERROR(VLOOKUP($B147,'Institution Evaluation'!$A$55:$F$345,2,0),IFERROR(VLOOKUP($B147,'Privacy Analyst Evaluation'!$A$46:$F$120,2,0),""))&amp;""</f>
        <v/>
      </c>
      <c r="D147" s="209" t="str">
        <f>IFERROR(VLOOKUP($B147,'Institution Evaluation'!$A$55:$F$345,3,0),IFERROR(VLOOKUP($B147,'Privacy Analyst Evaluation'!$A$46:$F$120,3,0),""))&amp;""</f>
        <v/>
      </c>
      <c r="E147" s="209" t="str">
        <f>IFERROR(VLOOKUP($B147,'Institution Evaluation'!$A$55:$F$345,4,0),IFERROR(VLOOKUP($B147,'Privacy Analyst Evaluation'!$A$46:$F$120,4,0),""))&amp;""</f>
        <v/>
      </c>
      <c r="F147" s="209" t="str">
        <f>IFERROR(VLOOKUP($B147,'Institution Evaluation'!$A$55:$F$345,6,0),IFERROR(VLOOKUP($B147,'Privacy Analyst Evaluation'!$A$46:$F$120,6,0),""))&amp;""</f>
        <v/>
      </c>
      <c r="G147" s="210"/>
      <c r="H147" s="209" t="str">
        <f>IFERROR(IF($H146+1&gt;'(backend scoring)'!$Q$335,"",$H146+1),"")</f>
        <v/>
      </c>
      <c r="I147" s="209" t="str">
        <f>_xlfn.XLOOKUP($H147,'(backend scoring)'!$S$2:$S$333,'(backend scoring)'!$A$2:$A$333,"")</f>
        <v/>
      </c>
      <c r="J147" s="209" t="str">
        <f>IFERROR(VLOOKUP($I147,'Institution Evaluation'!$A$55:$F$345,2,0),IFERROR(VLOOKUP($I147,'Privacy Analyst Evaluation'!$A$46:$F$120,2,0),""))</f>
        <v/>
      </c>
      <c r="K147" s="209" t="str">
        <f>IFERROR(VLOOKUP($I147,'Institution Evaluation'!$A$55:$F$345,3,0),IFERROR(VLOOKUP($I147,'Privacy Analyst Evaluation'!$A$46:$F$120,3,0),""))&amp;""</f>
        <v/>
      </c>
      <c r="L147" s="209" t="str">
        <f>IFERROR(VLOOKUP($I147,'Institution Evaluation'!$A$55:$F$345,4,0),IFERROR(VLOOKUP($I147,'Privacy Analyst Evaluation'!$A$46:$F$120,4,0),""))&amp;""</f>
        <v/>
      </c>
      <c r="M147" s="209" t="str">
        <f>IFERROR(VLOOKUP($I147,'Institution Evaluation'!$A$55:$F$345,6,0),IFERROR(VLOOKUP($I147,'Privacy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2">
      <c r="A148" s="209" t="str">
        <f>IFERROR(IF($A147+1&gt;'(backend scoring)'!$T$335,"",$A147+1),"")</f>
        <v/>
      </c>
      <c r="B148" s="209" t="str">
        <f>_xlfn.XLOOKUP($A148,'(backend scoring)'!$V$2:$V$333,'(backend scoring)'!$A$2:$A$333,"")</f>
        <v/>
      </c>
      <c r="C148" s="209" t="str">
        <f>IFERROR(VLOOKUP($B148,'Institution Evaluation'!$A$55:$F$345,2,0),IFERROR(VLOOKUP($B148,'Privacy Analyst Evaluation'!$A$46:$F$120,2,0),""))&amp;""</f>
        <v/>
      </c>
      <c r="D148" s="209" t="str">
        <f>IFERROR(VLOOKUP($B148,'Institution Evaluation'!$A$55:$F$345,3,0),IFERROR(VLOOKUP($B148,'Privacy Analyst Evaluation'!$A$46:$F$120,3,0),""))&amp;""</f>
        <v/>
      </c>
      <c r="E148" s="209" t="str">
        <f>IFERROR(VLOOKUP($B148,'Institution Evaluation'!$A$55:$F$345,4,0),IFERROR(VLOOKUP($B148,'Privacy Analyst Evaluation'!$A$46:$F$120,4,0),""))&amp;""</f>
        <v/>
      </c>
      <c r="F148" s="209" t="str">
        <f>IFERROR(VLOOKUP($B148,'Institution Evaluation'!$A$55:$F$345,6,0),IFERROR(VLOOKUP($B148,'Privacy Analyst Evaluation'!$A$46:$F$120,6,0),""))&amp;""</f>
        <v/>
      </c>
      <c r="G148" s="210"/>
      <c r="H148" s="209" t="str">
        <f>IFERROR(IF($H147+1&gt;'(backend scoring)'!$Q$335,"",$H147+1),"")</f>
        <v/>
      </c>
      <c r="I148" s="209" t="str">
        <f>_xlfn.XLOOKUP($H148,'(backend scoring)'!$S$2:$S$333,'(backend scoring)'!$A$2:$A$333,"")</f>
        <v/>
      </c>
      <c r="J148" s="209" t="str">
        <f>IFERROR(VLOOKUP($I148,'Institution Evaluation'!$A$55:$F$345,2,0),IFERROR(VLOOKUP($I148,'Privacy Analyst Evaluation'!$A$46:$F$120,2,0),""))</f>
        <v/>
      </c>
      <c r="K148" s="209" t="str">
        <f>IFERROR(VLOOKUP($I148,'Institution Evaluation'!$A$55:$F$345,3,0),IFERROR(VLOOKUP($I148,'Privacy Analyst Evaluation'!$A$46:$F$120,3,0),""))&amp;""</f>
        <v/>
      </c>
      <c r="L148" s="209" t="str">
        <f>IFERROR(VLOOKUP($I148,'Institution Evaluation'!$A$55:$F$345,4,0),IFERROR(VLOOKUP($I148,'Privacy Analyst Evaluation'!$A$46:$F$120,4,0),""))&amp;""</f>
        <v/>
      </c>
      <c r="M148" s="209" t="str">
        <f>IFERROR(VLOOKUP($I148,'Institution Evaluation'!$A$55:$F$345,6,0),IFERROR(VLOOKUP($I148,'Privacy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2">
      <c r="A149" s="209" t="str">
        <f>IFERROR(IF($A148+1&gt;'(backend scoring)'!$T$335,"",$A148+1),"")</f>
        <v/>
      </c>
      <c r="B149" s="209" t="str">
        <f>_xlfn.XLOOKUP($A149,'(backend scoring)'!$V$2:$V$333,'(backend scoring)'!$A$2:$A$333,"")</f>
        <v/>
      </c>
      <c r="C149" s="209" t="str">
        <f>IFERROR(VLOOKUP($B149,'Institution Evaluation'!$A$55:$F$345,2,0),IFERROR(VLOOKUP($B149,'Privacy Analyst Evaluation'!$A$46:$F$120,2,0),""))&amp;""</f>
        <v/>
      </c>
      <c r="D149" s="209" t="str">
        <f>IFERROR(VLOOKUP($B149,'Institution Evaluation'!$A$55:$F$345,3,0),IFERROR(VLOOKUP($B149,'Privacy Analyst Evaluation'!$A$46:$F$120,3,0),""))&amp;""</f>
        <v/>
      </c>
      <c r="E149" s="209" t="str">
        <f>IFERROR(VLOOKUP($B149,'Institution Evaluation'!$A$55:$F$345,4,0),IFERROR(VLOOKUP($B149,'Privacy Analyst Evaluation'!$A$46:$F$120,4,0),""))&amp;""</f>
        <v/>
      </c>
      <c r="F149" s="209" t="str">
        <f>IFERROR(VLOOKUP($B149,'Institution Evaluation'!$A$55:$F$345,6,0),IFERROR(VLOOKUP($B149,'Privacy Analyst Evaluation'!$A$46:$F$120,6,0),""))&amp;""</f>
        <v/>
      </c>
      <c r="G149" s="210"/>
      <c r="H149" s="209" t="str">
        <f>IFERROR(IF($H148+1&gt;'(backend scoring)'!$Q$335,"",$H148+1),"")</f>
        <v/>
      </c>
      <c r="I149" s="209" t="str">
        <f>_xlfn.XLOOKUP($H149,'(backend scoring)'!$S$2:$S$333,'(backend scoring)'!$A$2:$A$333,"")</f>
        <v/>
      </c>
      <c r="J149" s="209" t="str">
        <f>IFERROR(VLOOKUP($I149,'Institution Evaluation'!$A$55:$F$345,2,0),IFERROR(VLOOKUP($I149,'Privacy Analyst Evaluation'!$A$46:$F$120,2,0),""))</f>
        <v/>
      </c>
      <c r="K149" s="209" t="str">
        <f>IFERROR(VLOOKUP($I149,'Institution Evaluation'!$A$55:$F$345,3,0),IFERROR(VLOOKUP($I149,'Privacy Analyst Evaluation'!$A$46:$F$120,3,0),""))&amp;""</f>
        <v/>
      </c>
      <c r="L149" s="209" t="str">
        <f>IFERROR(VLOOKUP($I149,'Institution Evaluation'!$A$55:$F$345,4,0),IFERROR(VLOOKUP($I149,'Privacy Analyst Evaluation'!$A$46:$F$120,4,0),""))&amp;""</f>
        <v/>
      </c>
      <c r="M149" s="209" t="str">
        <f>IFERROR(VLOOKUP($I149,'Institution Evaluation'!$A$55:$F$345,6,0),IFERROR(VLOOKUP($I149,'Privacy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2">
      <c r="A150" s="209" t="str">
        <f>IFERROR(IF($A149+1&gt;'(backend scoring)'!$T$335,"",$A149+1),"")</f>
        <v/>
      </c>
      <c r="B150" s="209" t="str">
        <f>_xlfn.XLOOKUP($A150,'(backend scoring)'!$V$2:$V$333,'(backend scoring)'!$A$2:$A$333,"")</f>
        <v/>
      </c>
      <c r="C150" s="209" t="str">
        <f>IFERROR(VLOOKUP($B150,'Institution Evaluation'!$A$55:$F$345,2,0),IFERROR(VLOOKUP($B150,'Privacy Analyst Evaluation'!$A$46:$F$120,2,0),""))&amp;""</f>
        <v/>
      </c>
      <c r="D150" s="209" t="str">
        <f>IFERROR(VLOOKUP($B150,'Institution Evaluation'!$A$55:$F$345,3,0),IFERROR(VLOOKUP($B150,'Privacy Analyst Evaluation'!$A$46:$F$120,3,0),""))&amp;""</f>
        <v/>
      </c>
      <c r="E150" s="209" t="str">
        <f>IFERROR(VLOOKUP($B150,'Institution Evaluation'!$A$55:$F$345,4,0),IFERROR(VLOOKUP($B150,'Privacy Analyst Evaluation'!$A$46:$F$120,4,0),""))&amp;""</f>
        <v/>
      </c>
      <c r="F150" s="209" t="str">
        <f>IFERROR(VLOOKUP($B150,'Institution Evaluation'!$A$55:$F$345,6,0),IFERROR(VLOOKUP($B150,'Privacy Analyst Evaluation'!$A$46:$F$120,6,0),""))&amp;""</f>
        <v/>
      </c>
      <c r="G150" s="210"/>
      <c r="H150" s="209" t="str">
        <f>IFERROR(IF($H149+1&gt;'(backend scoring)'!$Q$335,"",$H149+1),"")</f>
        <v/>
      </c>
      <c r="I150" s="209" t="str">
        <f>_xlfn.XLOOKUP($H150,'(backend scoring)'!$S$2:$S$333,'(backend scoring)'!$A$2:$A$333,"")</f>
        <v/>
      </c>
      <c r="J150" s="209" t="str">
        <f>IFERROR(VLOOKUP($I150,'Institution Evaluation'!$A$55:$F$345,2,0),IFERROR(VLOOKUP($I150,'Privacy Analyst Evaluation'!$A$46:$F$120,2,0),""))</f>
        <v/>
      </c>
      <c r="K150" s="209" t="str">
        <f>IFERROR(VLOOKUP($I150,'Institution Evaluation'!$A$55:$F$345,3,0),IFERROR(VLOOKUP($I150,'Privacy Analyst Evaluation'!$A$46:$F$120,3,0),""))&amp;""</f>
        <v/>
      </c>
      <c r="L150" s="209" t="str">
        <f>IFERROR(VLOOKUP($I150,'Institution Evaluation'!$A$55:$F$345,4,0),IFERROR(VLOOKUP($I150,'Privacy Analyst Evaluation'!$A$46:$F$120,4,0),""))&amp;""</f>
        <v/>
      </c>
      <c r="M150" s="209" t="str">
        <f>IFERROR(VLOOKUP($I150,'Institution Evaluation'!$A$55:$F$345,6,0),IFERROR(VLOOKUP($I150,'Privacy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2">
      <c r="A151" s="209" t="str">
        <f>IFERROR(IF($A150+1&gt;'(backend scoring)'!$T$335,"",$A150+1),"")</f>
        <v/>
      </c>
      <c r="B151" s="209" t="str">
        <f>_xlfn.XLOOKUP($A151,'(backend scoring)'!$V$2:$V$333,'(backend scoring)'!$A$2:$A$333,"")</f>
        <v/>
      </c>
      <c r="C151" s="209" t="str">
        <f>IFERROR(VLOOKUP($B151,'Institution Evaluation'!$A$55:$F$345,2,0),IFERROR(VLOOKUP($B151,'Privacy Analyst Evaluation'!$A$46:$F$120,2,0),""))&amp;""</f>
        <v/>
      </c>
      <c r="D151" s="209" t="str">
        <f>IFERROR(VLOOKUP($B151,'Institution Evaluation'!$A$55:$F$345,3,0),IFERROR(VLOOKUP($B151,'Privacy Analyst Evaluation'!$A$46:$F$120,3,0),""))&amp;""</f>
        <v/>
      </c>
      <c r="E151" s="209" t="str">
        <f>IFERROR(VLOOKUP($B151,'Institution Evaluation'!$A$55:$F$345,4,0),IFERROR(VLOOKUP($B151,'Privacy Analyst Evaluation'!$A$46:$F$120,4,0),""))&amp;""</f>
        <v/>
      </c>
      <c r="F151" s="209" t="str">
        <f>IFERROR(VLOOKUP($B151,'Institution Evaluation'!$A$55:$F$345,6,0),IFERROR(VLOOKUP($B151,'Privacy Analyst Evaluation'!$A$46:$F$120,6,0),""))&amp;""</f>
        <v/>
      </c>
      <c r="G151" s="210"/>
      <c r="H151" s="209" t="str">
        <f>IFERROR(IF($H150+1&gt;'(backend scoring)'!$Q$335,"",$H150+1),"")</f>
        <v/>
      </c>
      <c r="I151" s="209" t="str">
        <f>_xlfn.XLOOKUP($H151,'(backend scoring)'!$S$2:$S$333,'(backend scoring)'!$A$2:$A$333,"")</f>
        <v/>
      </c>
      <c r="J151" s="209" t="str">
        <f>IFERROR(VLOOKUP($I151,'Institution Evaluation'!$A$55:$F$345,2,0),IFERROR(VLOOKUP($I151,'Privacy Analyst Evaluation'!$A$46:$F$120,2,0),""))</f>
        <v/>
      </c>
      <c r="K151" s="209" t="str">
        <f>IFERROR(VLOOKUP($I151,'Institution Evaluation'!$A$55:$F$345,3,0),IFERROR(VLOOKUP($I151,'Privacy Analyst Evaluation'!$A$46:$F$120,3,0),""))&amp;""</f>
        <v/>
      </c>
      <c r="L151" s="209" t="str">
        <f>IFERROR(VLOOKUP($I151,'Institution Evaluation'!$A$55:$F$345,4,0),IFERROR(VLOOKUP($I151,'Privacy Analyst Evaluation'!$A$46:$F$120,4,0),""))&amp;""</f>
        <v/>
      </c>
      <c r="M151" s="209" t="str">
        <f>IFERROR(VLOOKUP($I151,'Institution Evaluation'!$A$55:$F$345,6,0),IFERROR(VLOOKUP($I151,'Privacy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2">
      <c r="A152" s="209" t="str">
        <f>IFERROR(IF($A151+1&gt;'(backend scoring)'!$T$335,"",$A151+1),"")</f>
        <v/>
      </c>
      <c r="B152" s="209" t="str">
        <f>_xlfn.XLOOKUP($A152,'(backend scoring)'!$V$2:$V$333,'(backend scoring)'!$A$2:$A$333,"")</f>
        <v/>
      </c>
      <c r="C152" s="209" t="str">
        <f>IFERROR(VLOOKUP($B152,'Institution Evaluation'!$A$55:$F$345,2,0),IFERROR(VLOOKUP($B152,'Privacy Analyst Evaluation'!$A$46:$F$120,2,0),""))&amp;""</f>
        <v/>
      </c>
      <c r="D152" s="209" t="str">
        <f>IFERROR(VLOOKUP($B152,'Institution Evaluation'!$A$55:$F$345,3,0),IFERROR(VLOOKUP($B152,'Privacy Analyst Evaluation'!$A$46:$F$120,3,0),""))&amp;""</f>
        <v/>
      </c>
      <c r="E152" s="209" t="str">
        <f>IFERROR(VLOOKUP($B152,'Institution Evaluation'!$A$55:$F$345,4,0),IFERROR(VLOOKUP($B152,'Privacy Analyst Evaluation'!$A$46:$F$120,4,0),""))&amp;""</f>
        <v/>
      </c>
      <c r="F152" s="209" t="str">
        <f>IFERROR(VLOOKUP($B152,'Institution Evaluation'!$A$55:$F$345,6,0),IFERROR(VLOOKUP($B152,'Privacy Analyst Evaluation'!$A$46:$F$120,6,0),""))&amp;""</f>
        <v/>
      </c>
      <c r="G152" s="210"/>
      <c r="H152" s="209" t="str">
        <f>IFERROR(IF($H151+1&gt;'(backend scoring)'!$Q$335,"",$H151+1),"")</f>
        <v/>
      </c>
      <c r="I152" s="209" t="str">
        <f>_xlfn.XLOOKUP($H152,'(backend scoring)'!$S$2:$S$333,'(backend scoring)'!$A$2:$A$333,"")</f>
        <v/>
      </c>
      <c r="J152" s="209" t="str">
        <f>IFERROR(VLOOKUP($I152,'Institution Evaluation'!$A$55:$F$345,2,0),IFERROR(VLOOKUP($I152,'Privacy Analyst Evaluation'!$A$46:$F$120,2,0),""))</f>
        <v/>
      </c>
      <c r="K152" s="209" t="str">
        <f>IFERROR(VLOOKUP($I152,'Institution Evaluation'!$A$55:$F$345,3,0),IFERROR(VLOOKUP($I152,'Privacy Analyst Evaluation'!$A$46:$F$120,3,0),""))&amp;""</f>
        <v/>
      </c>
      <c r="L152" s="209" t="str">
        <f>IFERROR(VLOOKUP($I152,'Institution Evaluation'!$A$55:$F$345,4,0),IFERROR(VLOOKUP($I152,'Privacy Analyst Evaluation'!$A$46:$F$120,4,0),""))&amp;""</f>
        <v/>
      </c>
      <c r="M152" s="209" t="str">
        <f>IFERROR(VLOOKUP($I152,'Institution Evaluation'!$A$55:$F$345,6,0),IFERROR(VLOOKUP($I152,'Privacy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2">
      <c r="A153" s="209" t="str">
        <f>IFERROR(IF($A152+1&gt;'(backend scoring)'!$T$335,"",$A152+1),"")</f>
        <v/>
      </c>
      <c r="B153" s="209" t="str">
        <f>_xlfn.XLOOKUP($A153,'(backend scoring)'!$V$2:$V$333,'(backend scoring)'!$A$2:$A$333,"")</f>
        <v/>
      </c>
      <c r="C153" s="209" t="str">
        <f>IFERROR(VLOOKUP($B153,'Institution Evaluation'!$A$55:$F$345,2,0),IFERROR(VLOOKUP($B153,'Privacy Analyst Evaluation'!$A$46:$F$120,2,0),""))&amp;""</f>
        <v/>
      </c>
      <c r="D153" s="209" t="str">
        <f>IFERROR(VLOOKUP($B153,'Institution Evaluation'!$A$55:$F$345,3,0),IFERROR(VLOOKUP($B153,'Privacy Analyst Evaluation'!$A$46:$F$120,3,0),""))&amp;""</f>
        <v/>
      </c>
      <c r="E153" s="209" t="str">
        <f>IFERROR(VLOOKUP($B153,'Institution Evaluation'!$A$55:$F$345,4,0),IFERROR(VLOOKUP($B153,'Privacy Analyst Evaluation'!$A$46:$F$120,4,0),""))&amp;""</f>
        <v/>
      </c>
      <c r="F153" s="209" t="str">
        <f>IFERROR(VLOOKUP($B153,'Institution Evaluation'!$A$55:$F$345,6,0),IFERROR(VLOOKUP($B153,'Privacy Analyst Evaluation'!$A$46:$F$120,6,0),""))&amp;""</f>
        <v/>
      </c>
      <c r="G153" s="210"/>
      <c r="H153" s="209" t="str">
        <f>IFERROR(IF($H152+1&gt;'(backend scoring)'!$Q$335,"",$H152+1),"")</f>
        <v/>
      </c>
      <c r="I153" s="209" t="str">
        <f>_xlfn.XLOOKUP($H153,'(backend scoring)'!$S$2:$S$333,'(backend scoring)'!$A$2:$A$333,"")</f>
        <v/>
      </c>
      <c r="J153" s="209" t="str">
        <f>IFERROR(VLOOKUP($I153,'Institution Evaluation'!$A$55:$F$345,2,0),IFERROR(VLOOKUP($I153,'Privacy Analyst Evaluation'!$A$46:$F$120,2,0),""))</f>
        <v/>
      </c>
      <c r="K153" s="209" t="str">
        <f>IFERROR(VLOOKUP($I153,'Institution Evaluation'!$A$55:$F$345,3,0),IFERROR(VLOOKUP($I153,'Privacy Analyst Evaluation'!$A$46:$F$120,3,0),""))&amp;""</f>
        <v/>
      </c>
      <c r="L153" s="209" t="str">
        <f>IFERROR(VLOOKUP($I153,'Institution Evaluation'!$A$55:$F$345,4,0),IFERROR(VLOOKUP($I153,'Privacy Analyst Evaluation'!$A$46:$F$120,4,0),""))&amp;""</f>
        <v/>
      </c>
      <c r="M153" s="209" t="str">
        <f>IFERROR(VLOOKUP($I153,'Institution Evaluation'!$A$55:$F$345,6,0),IFERROR(VLOOKUP($I153,'Privacy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2">
      <c r="A154" s="209" t="str">
        <f>IFERROR(IF($A153+1&gt;'(backend scoring)'!$T$335,"",$A153+1),"")</f>
        <v/>
      </c>
      <c r="B154" s="209" t="str">
        <f>_xlfn.XLOOKUP($A154,'(backend scoring)'!$V$2:$V$333,'(backend scoring)'!$A$2:$A$333,"")</f>
        <v/>
      </c>
      <c r="C154" s="209" t="str">
        <f>IFERROR(VLOOKUP($B154,'Institution Evaluation'!$A$55:$F$345,2,0),IFERROR(VLOOKUP($B154,'Privacy Analyst Evaluation'!$A$46:$F$120,2,0),""))&amp;""</f>
        <v/>
      </c>
      <c r="D154" s="209" t="str">
        <f>IFERROR(VLOOKUP($B154,'Institution Evaluation'!$A$55:$F$345,3,0),IFERROR(VLOOKUP($B154,'Privacy Analyst Evaluation'!$A$46:$F$120,3,0),""))&amp;""</f>
        <v/>
      </c>
      <c r="E154" s="209" t="str">
        <f>IFERROR(VLOOKUP($B154,'Institution Evaluation'!$A$55:$F$345,4,0),IFERROR(VLOOKUP($B154,'Privacy Analyst Evaluation'!$A$46:$F$120,4,0),""))&amp;""</f>
        <v/>
      </c>
      <c r="F154" s="209" t="str">
        <f>IFERROR(VLOOKUP($B154,'Institution Evaluation'!$A$55:$F$345,6,0),IFERROR(VLOOKUP($B154,'Privacy Analyst Evaluation'!$A$46:$F$120,6,0),""))&amp;""</f>
        <v/>
      </c>
      <c r="G154" s="210"/>
      <c r="H154" s="209" t="str">
        <f>IFERROR(IF($H153+1&gt;'(backend scoring)'!$Q$335,"",$H153+1),"")</f>
        <v/>
      </c>
      <c r="I154" s="209" t="str">
        <f>_xlfn.XLOOKUP($H154,'(backend scoring)'!$S$2:$S$333,'(backend scoring)'!$A$2:$A$333,"")</f>
        <v/>
      </c>
      <c r="J154" s="209" t="str">
        <f>IFERROR(VLOOKUP($I154,'Institution Evaluation'!$A$55:$F$345,2,0),IFERROR(VLOOKUP($I154,'Privacy Analyst Evaluation'!$A$46:$F$120,2,0),""))</f>
        <v/>
      </c>
      <c r="K154" s="209" t="str">
        <f>IFERROR(VLOOKUP($I154,'Institution Evaluation'!$A$55:$F$345,3,0),IFERROR(VLOOKUP($I154,'Privacy Analyst Evaluation'!$A$46:$F$120,3,0),""))&amp;""</f>
        <v/>
      </c>
      <c r="L154" s="209" t="str">
        <f>IFERROR(VLOOKUP($I154,'Institution Evaluation'!$A$55:$F$345,4,0),IFERROR(VLOOKUP($I154,'Privacy Analyst Evaluation'!$A$46:$F$120,4,0),""))&amp;""</f>
        <v/>
      </c>
      <c r="M154" s="209" t="str">
        <f>IFERROR(VLOOKUP($I154,'Institution Evaluation'!$A$55:$F$345,6,0),IFERROR(VLOOKUP($I154,'Privacy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2">
      <c r="A155" s="209" t="str">
        <f>IFERROR(IF($A154+1&gt;'(backend scoring)'!$T$335,"",$A154+1),"")</f>
        <v/>
      </c>
      <c r="B155" s="209" t="str">
        <f>_xlfn.XLOOKUP($A155,'(backend scoring)'!$V$2:$V$333,'(backend scoring)'!$A$2:$A$333,"")</f>
        <v/>
      </c>
      <c r="C155" s="209" t="str">
        <f>IFERROR(VLOOKUP($B155,'Institution Evaluation'!$A$55:$F$345,2,0),IFERROR(VLOOKUP($B155,'Privacy Analyst Evaluation'!$A$46:$F$120,2,0),""))&amp;""</f>
        <v/>
      </c>
      <c r="D155" s="209" t="str">
        <f>IFERROR(VLOOKUP($B155,'Institution Evaluation'!$A$55:$F$345,3,0),IFERROR(VLOOKUP($B155,'Privacy Analyst Evaluation'!$A$46:$F$120,3,0),""))&amp;""</f>
        <v/>
      </c>
      <c r="E155" s="209" t="str">
        <f>IFERROR(VLOOKUP($B155,'Institution Evaluation'!$A$55:$F$345,4,0),IFERROR(VLOOKUP($B155,'Privacy Analyst Evaluation'!$A$46:$F$120,4,0),""))&amp;""</f>
        <v/>
      </c>
      <c r="F155" s="209" t="str">
        <f>IFERROR(VLOOKUP($B155,'Institution Evaluation'!$A$55:$F$345,6,0),IFERROR(VLOOKUP($B155,'Privacy Analyst Evaluation'!$A$46:$F$120,6,0),""))&amp;""</f>
        <v/>
      </c>
      <c r="G155" s="210"/>
      <c r="H155" s="209" t="str">
        <f>IFERROR(IF($H154+1&gt;'(backend scoring)'!$Q$335,"",$H154+1),"")</f>
        <v/>
      </c>
      <c r="I155" s="209" t="str">
        <f>_xlfn.XLOOKUP($H155,'(backend scoring)'!$S$2:$S$333,'(backend scoring)'!$A$2:$A$333,"")</f>
        <v/>
      </c>
      <c r="J155" s="209" t="str">
        <f>IFERROR(VLOOKUP($I155,'Institution Evaluation'!$A$55:$F$345,2,0),IFERROR(VLOOKUP($I155,'Privacy Analyst Evaluation'!$A$46:$F$120,2,0),""))</f>
        <v/>
      </c>
      <c r="K155" s="209" t="str">
        <f>IFERROR(VLOOKUP($I155,'Institution Evaluation'!$A$55:$F$345,3,0),IFERROR(VLOOKUP($I155,'Privacy Analyst Evaluation'!$A$46:$F$120,3,0),""))&amp;""</f>
        <v/>
      </c>
      <c r="L155" s="209" t="str">
        <f>IFERROR(VLOOKUP($I155,'Institution Evaluation'!$A$55:$F$345,4,0),IFERROR(VLOOKUP($I155,'Privacy Analyst Evaluation'!$A$46:$F$120,4,0),""))&amp;""</f>
        <v/>
      </c>
      <c r="M155" s="209" t="str">
        <f>IFERROR(VLOOKUP($I155,'Institution Evaluation'!$A$55:$F$345,6,0),IFERROR(VLOOKUP($I155,'Privacy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2">
      <c r="A156" s="209" t="str">
        <f>IFERROR(IF($A155+1&gt;'(backend scoring)'!$T$335,"",$A155+1),"")</f>
        <v/>
      </c>
      <c r="B156" s="209" t="str">
        <f>_xlfn.XLOOKUP($A156,'(backend scoring)'!$V$2:$V$333,'(backend scoring)'!$A$2:$A$333,"")</f>
        <v/>
      </c>
      <c r="C156" s="209" t="str">
        <f>IFERROR(VLOOKUP($B156,'Institution Evaluation'!$A$55:$F$345,2,0),IFERROR(VLOOKUP($B156,'Privacy Analyst Evaluation'!$A$46:$F$120,2,0),""))&amp;""</f>
        <v/>
      </c>
      <c r="D156" s="209" t="str">
        <f>IFERROR(VLOOKUP($B156,'Institution Evaluation'!$A$55:$F$345,3,0),IFERROR(VLOOKUP($B156,'Privacy Analyst Evaluation'!$A$46:$F$120,3,0),""))&amp;""</f>
        <v/>
      </c>
      <c r="E156" s="209" t="str">
        <f>IFERROR(VLOOKUP($B156,'Institution Evaluation'!$A$55:$F$345,4,0),IFERROR(VLOOKUP($B156,'Privacy Analyst Evaluation'!$A$46:$F$120,4,0),""))&amp;""</f>
        <v/>
      </c>
      <c r="F156" s="209" t="str">
        <f>IFERROR(VLOOKUP($B156,'Institution Evaluation'!$A$55:$F$345,6,0),IFERROR(VLOOKUP($B156,'Privacy Analyst Evaluation'!$A$46:$F$120,6,0),""))&amp;""</f>
        <v/>
      </c>
      <c r="G156" s="210"/>
      <c r="H156" s="209" t="str">
        <f>IFERROR(IF($H155+1&gt;'(backend scoring)'!$Q$335,"",$H155+1),"")</f>
        <v/>
      </c>
      <c r="I156" s="209" t="str">
        <f>_xlfn.XLOOKUP($H156,'(backend scoring)'!$S$2:$S$333,'(backend scoring)'!$A$2:$A$333,"")</f>
        <v/>
      </c>
      <c r="J156" s="209" t="str">
        <f>IFERROR(VLOOKUP($I156,'Institution Evaluation'!$A$55:$F$345,2,0),IFERROR(VLOOKUP($I156,'Privacy Analyst Evaluation'!$A$46:$F$120,2,0),""))</f>
        <v/>
      </c>
      <c r="K156" s="209" t="str">
        <f>IFERROR(VLOOKUP($I156,'Institution Evaluation'!$A$55:$F$345,3,0),IFERROR(VLOOKUP($I156,'Privacy Analyst Evaluation'!$A$46:$F$120,3,0),""))&amp;""</f>
        <v/>
      </c>
      <c r="L156" s="209" t="str">
        <f>IFERROR(VLOOKUP($I156,'Institution Evaluation'!$A$55:$F$345,4,0),IFERROR(VLOOKUP($I156,'Privacy Analyst Evaluation'!$A$46:$F$120,4,0),""))&amp;""</f>
        <v/>
      </c>
      <c r="M156" s="209" t="str">
        <f>IFERROR(VLOOKUP($I156,'Institution Evaluation'!$A$55:$F$345,6,0),IFERROR(VLOOKUP($I156,'Privacy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2">
      <c r="A157" s="209" t="str">
        <f>IFERROR(IF($A156+1&gt;'(backend scoring)'!$T$335,"",$A156+1),"")</f>
        <v/>
      </c>
      <c r="B157" s="209" t="str">
        <f>_xlfn.XLOOKUP($A157,'(backend scoring)'!$V$2:$V$333,'(backend scoring)'!$A$2:$A$333,"")</f>
        <v/>
      </c>
      <c r="C157" s="209" t="str">
        <f>IFERROR(VLOOKUP($B157,'Institution Evaluation'!$A$55:$F$345,2,0),IFERROR(VLOOKUP($B157,'Privacy Analyst Evaluation'!$A$46:$F$120,2,0),""))&amp;""</f>
        <v/>
      </c>
      <c r="D157" s="209" t="str">
        <f>IFERROR(VLOOKUP($B157,'Institution Evaluation'!$A$55:$F$345,3,0),IFERROR(VLOOKUP($B157,'Privacy Analyst Evaluation'!$A$46:$F$120,3,0),""))&amp;""</f>
        <v/>
      </c>
      <c r="E157" s="209" t="str">
        <f>IFERROR(VLOOKUP($B157,'Institution Evaluation'!$A$55:$F$345,4,0),IFERROR(VLOOKUP($B157,'Privacy Analyst Evaluation'!$A$46:$F$120,4,0),""))&amp;""</f>
        <v/>
      </c>
      <c r="F157" s="209" t="str">
        <f>IFERROR(VLOOKUP($B157,'Institution Evaluation'!$A$55:$F$345,6,0),IFERROR(VLOOKUP($B157,'Privacy Analyst Evaluation'!$A$46:$F$120,6,0),""))&amp;""</f>
        <v/>
      </c>
      <c r="G157" s="210"/>
      <c r="H157" s="209" t="str">
        <f>IFERROR(IF($H156+1&gt;'(backend scoring)'!$Q$335,"",$H156+1),"")</f>
        <v/>
      </c>
      <c r="I157" s="209" t="str">
        <f>_xlfn.XLOOKUP($H157,'(backend scoring)'!$S$2:$S$333,'(backend scoring)'!$A$2:$A$333,"")</f>
        <v/>
      </c>
      <c r="J157" s="209" t="str">
        <f>IFERROR(VLOOKUP($I157,'Institution Evaluation'!$A$55:$F$345,2,0),IFERROR(VLOOKUP($I157,'Privacy Analyst Evaluation'!$A$46:$F$120,2,0),""))</f>
        <v/>
      </c>
      <c r="K157" s="209" t="str">
        <f>IFERROR(VLOOKUP($I157,'Institution Evaluation'!$A$55:$F$345,3,0),IFERROR(VLOOKUP($I157,'Privacy Analyst Evaluation'!$A$46:$F$120,3,0),""))&amp;""</f>
        <v/>
      </c>
      <c r="L157" s="209" t="str">
        <f>IFERROR(VLOOKUP($I157,'Institution Evaluation'!$A$55:$F$345,4,0),IFERROR(VLOOKUP($I157,'Privacy Analyst Evaluation'!$A$46:$F$120,4,0),""))&amp;""</f>
        <v/>
      </c>
      <c r="M157" s="209" t="str">
        <f>IFERROR(VLOOKUP($I157,'Institution Evaluation'!$A$55:$F$345,6,0),IFERROR(VLOOKUP($I157,'Privacy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2">
      <c r="A158" s="209" t="str">
        <f>IFERROR(IF($A157+1&gt;'(backend scoring)'!$T$335,"",$A157+1),"")</f>
        <v/>
      </c>
      <c r="B158" s="209" t="str">
        <f>_xlfn.XLOOKUP($A158,'(backend scoring)'!$V$2:$V$333,'(backend scoring)'!$A$2:$A$333,"")</f>
        <v/>
      </c>
      <c r="C158" s="209" t="str">
        <f>IFERROR(VLOOKUP($B158,'Institution Evaluation'!$A$55:$F$345,2,0),IFERROR(VLOOKUP($B158,'Privacy Analyst Evaluation'!$A$46:$F$120,2,0),""))&amp;""</f>
        <v/>
      </c>
      <c r="D158" s="209" t="str">
        <f>IFERROR(VLOOKUP($B158,'Institution Evaluation'!$A$55:$F$345,3,0),IFERROR(VLOOKUP($B158,'Privacy Analyst Evaluation'!$A$46:$F$120,3,0),""))&amp;""</f>
        <v/>
      </c>
      <c r="E158" s="209" t="str">
        <f>IFERROR(VLOOKUP($B158,'Institution Evaluation'!$A$55:$F$345,4,0),IFERROR(VLOOKUP($B158,'Privacy Analyst Evaluation'!$A$46:$F$120,4,0),""))&amp;""</f>
        <v/>
      </c>
      <c r="F158" s="209" t="str">
        <f>IFERROR(VLOOKUP($B158,'Institution Evaluation'!$A$55:$F$345,6,0),IFERROR(VLOOKUP($B158,'Privacy Analyst Evaluation'!$A$46:$F$120,6,0),""))&amp;""</f>
        <v/>
      </c>
      <c r="G158" s="210"/>
      <c r="H158" s="209" t="str">
        <f>IFERROR(IF($H157+1&gt;'(backend scoring)'!$Q$335,"",$H157+1),"")</f>
        <v/>
      </c>
      <c r="I158" s="209" t="str">
        <f>_xlfn.XLOOKUP($H158,'(backend scoring)'!$S$2:$S$333,'(backend scoring)'!$A$2:$A$333,"")</f>
        <v/>
      </c>
      <c r="J158" s="209" t="str">
        <f>IFERROR(VLOOKUP($I158,'Institution Evaluation'!$A$55:$F$345,2,0),IFERROR(VLOOKUP($I158,'Privacy Analyst Evaluation'!$A$46:$F$120,2,0),""))</f>
        <v/>
      </c>
      <c r="K158" s="209" t="str">
        <f>IFERROR(VLOOKUP($I158,'Institution Evaluation'!$A$55:$F$345,3,0),IFERROR(VLOOKUP($I158,'Privacy Analyst Evaluation'!$A$46:$F$120,3,0),""))&amp;""</f>
        <v/>
      </c>
      <c r="L158" s="209" t="str">
        <f>IFERROR(VLOOKUP($I158,'Institution Evaluation'!$A$55:$F$345,4,0),IFERROR(VLOOKUP($I158,'Privacy Analyst Evaluation'!$A$46:$F$120,4,0),""))&amp;""</f>
        <v/>
      </c>
      <c r="M158" s="209" t="str">
        <f>IFERROR(VLOOKUP($I158,'Institution Evaluation'!$A$55:$F$345,6,0),IFERROR(VLOOKUP($I158,'Privacy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2">
      <c r="A159" s="209" t="str">
        <f>IFERROR(IF($A158+1&gt;'(backend scoring)'!$T$335,"",$A158+1),"")</f>
        <v/>
      </c>
      <c r="B159" s="209" t="str">
        <f>_xlfn.XLOOKUP($A159,'(backend scoring)'!$V$2:$V$333,'(backend scoring)'!$A$2:$A$333,"")</f>
        <v/>
      </c>
      <c r="C159" s="209" t="str">
        <f>IFERROR(VLOOKUP($B159,'Institution Evaluation'!$A$55:$F$345,2,0),IFERROR(VLOOKUP($B159,'Privacy Analyst Evaluation'!$A$46:$F$120,2,0),""))&amp;""</f>
        <v/>
      </c>
      <c r="D159" s="209" t="str">
        <f>IFERROR(VLOOKUP($B159,'Institution Evaluation'!$A$55:$F$345,3,0),IFERROR(VLOOKUP($B159,'Privacy Analyst Evaluation'!$A$46:$F$120,3,0),""))&amp;""</f>
        <v/>
      </c>
      <c r="E159" s="209" t="str">
        <f>IFERROR(VLOOKUP($B159,'Institution Evaluation'!$A$55:$F$345,4,0),IFERROR(VLOOKUP($B159,'Privacy Analyst Evaluation'!$A$46:$F$120,4,0),""))&amp;""</f>
        <v/>
      </c>
      <c r="F159" s="209" t="str">
        <f>IFERROR(VLOOKUP($B159,'Institution Evaluation'!$A$55:$F$345,6,0),IFERROR(VLOOKUP($B159,'Privacy Analyst Evaluation'!$A$46:$F$120,6,0),""))&amp;""</f>
        <v/>
      </c>
      <c r="G159" s="210"/>
      <c r="H159" s="209" t="str">
        <f>IFERROR(IF($H158+1&gt;'(backend scoring)'!$Q$335,"",$H158+1),"")</f>
        <v/>
      </c>
      <c r="I159" s="209" t="str">
        <f>_xlfn.XLOOKUP($H159,'(backend scoring)'!$S$2:$S$333,'(backend scoring)'!$A$2:$A$333,"")</f>
        <v/>
      </c>
      <c r="J159" s="209" t="str">
        <f>IFERROR(VLOOKUP($I159,'Institution Evaluation'!$A$55:$F$345,2,0),IFERROR(VLOOKUP($I159,'Privacy Analyst Evaluation'!$A$46:$F$120,2,0),""))</f>
        <v/>
      </c>
      <c r="K159" s="209" t="str">
        <f>IFERROR(VLOOKUP($I159,'Institution Evaluation'!$A$55:$F$345,3,0),IFERROR(VLOOKUP($I159,'Privacy Analyst Evaluation'!$A$46:$F$120,3,0),""))&amp;""</f>
        <v/>
      </c>
      <c r="L159" s="209" t="str">
        <f>IFERROR(VLOOKUP($I159,'Institution Evaluation'!$A$55:$F$345,4,0),IFERROR(VLOOKUP($I159,'Privacy Analyst Evaluation'!$A$46:$F$120,4,0),""))&amp;""</f>
        <v/>
      </c>
      <c r="M159" s="209" t="str">
        <f>IFERROR(VLOOKUP($I159,'Institution Evaluation'!$A$55:$F$345,6,0),IFERROR(VLOOKUP($I159,'Privacy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2">
      <c r="A160" s="209" t="str">
        <f>IFERROR(IF($A159+1&gt;'(backend scoring)'!$T$335,"",$A159+1),"")</f>
        <v/>
      </c>
      <c r="B160" s="209" t="str">
        <f>_xlfn.XLOOKUP($A160,'(backend scoring)'!$V$2:$V$333,'(backend scoring)'!$A$2:$A$333,"")</f>
        <v/>
      </c>
      <c r="C160" s="209" t="str">
        <f>IFERROR(VLOOKUP($B160,'Institution Evaluation'!$A$55:$F$345,2,0),IFERROR(VLOOKUP($B160,'Privacy Analyst Evaluation'!$A$46:$F$120,2,0),""))&amp;""</f>
        <v/>
      </c>
      <c r="D160" s="209" t="str">
        <f>IFERROR(VLOOKUP($B160,'Institution Evaluation'!$A$55:$F$345,3,0),IFERROR(VLOOKUP($B160,'Privacy Analyst Evaluation'!$A$46:$F$120,3,0),""))&amp;""</f>
        <v/>
      </c>
      <c r="E160" s="209" t="str">
        <f>IFERROR(VLOOKUP($B160,'Institution Evaluation'!$A$55:$F$345,4,0),IFERROR(VLOOKUP($B160,'Privacy Analyst Evaluation'!$A$46:$F$120,4,0),""))&amp;""</f>
        <v/>
      </c>
      <c r="F160" s="209" t="str">
        <f>IFERROR(VLOOKUP($B160,'Institution Evaluation'!$A$55:$F$345,6,0),IFERROR(VLOOKUP($B160,'Privacy Analyst Evaluation'!$A$46:$F$120,6,0),""))&amp;""</f>
        <v/>
      </c>
      <c r="G160" s="210"/>
      <c r="H160" s="209" t="str">
        <f>IFERROR(IF($H159+1&gt;'(backend scoring)'!$Q$335,"",$H159+1),"")</f>
        <v/>
      </c>
      <c r="I160" s="209" t="str">
        <f>_xlfn.XLOOKUP($H160,'(backend scoring)'!$S$2:$S$333,'(backend scoring)'!$A$2:$A$333,"")</f>
        <v/>
      </c>
      <c r="J160" s="209" t="str">
        <f>IFERROR(VLOOKUP($I160,'Institution Evaluation'!$A$55:$F$345,2,0),IFERROR(VLOOKUP($I160,'Privacy Analyst Evaluation'!$A$46:$F$120,2,0),""))</f>
        <v/>
      </c>
      <c r="K160" s="209" t="str">
        <f>IFERROR(VLOOKUP($I160,'Institution Evaluation'!$A$55:$F$345,3,0),IFERROR(VLOOKUP($I160,'Privacy Analyst Evaluation'!$A$46:$F$120,3,0),""))&amp;""</f>
        <v/>
      </c>
      <c r="L160" s="209" t="str">
        <f>IFERROR(VLOOKUP($I160,'Institution Evaluation'!$A$55:$F$345,4,0),IFERROR(VLOOKUP($I160,'Privacy Analyst Evaluation'!$A$46:$F$120,4,0),""))&amp;""</f>
        <v/>
      </c>
      <c r="M160" s="209" t="str">
        <f>IFERROR(VLOOKUP($I160,'Institution Evaluation'!$A$55:$F$345,6,0),IFERROR(VLOOKUP($I160,'Privacy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2">
      <c r="A161" s="209" t="str">
        <f>IFERROR(IF($A160+1&gt;'(backend scoring)'!$T$335,"",$A160+1),"")</f>
        <v/>
      </c>
      <c r="B161" s="209" t="str">
        <f>_xlfn.XLOOKUP($A161,'(backend scoring)'!$V$2:$V$333,'(backend scoring)'!$A$2:$A$333,"")</f>
        <v/>
      </c>
      <c r="C161" s="209" t="str">
        <f>IFERROR(VLOOKUP($B161,'Institution Evaluation'!$A$55:$F$345,2,0),IFERROR(VLOOKUP($B161,'Privacy Analyst Evaluation'!$A$46:$F$120,2,0),""))&amp;""</f>
        <v/>
      </c>
      <c r="D161" s="209" t="str">
        <f>IFERROR(VLOOKUP($B161,'Institution Evaluation'!$A$55:$F$345,3,0),IFERROR(VLOOKUP($B161,'Privacy Analyst Evaluation'!$A$46:$F$120,3,0),""))&amp;""</f>
        <v/>
      </c>
      <c r="E161" s="209" t="str">
        <f>IFERROR(VLOOKUP($B161,'Institution Evaluation'!$A$55:$F$345,4,0),IFERROR(VLOOKUP($B161,'Privacy Analyst Evaluation'!$A$46:$F$120,4,0),""))&amp;""</f>
        <v/>
      </c>
      <c r="F161" s="209" t="str">
        <f>IFERROR(VLOOKUP($B161,'Institution Evaluation'!$A$55:$F$345,6,0),IFERROR(VLOOKUP($B161,'Privacy Analyst Evaluation'!$A$46:$F$120,6,0),""))&amp;""</f>
        <v/>
      </c>
      <c r="G161" s="210"/>
      <c r="H161" s="209" t="str">
        <f>IFERROR(IF($H160+1&gt;'(backend scoring)'!$Q$335,"",$H160+1),"")</f>
        <v/>
      </c>
      <c r="I161" s="209" t="str">
        <f>_xlfn.XLOOKUP($H161,'(backend scoring)'!$S$2:$S$333,'(backend scoring)'!$A$2:$A$333,"")</f>
        <v/>
      </c>
      <c r="J161" s="209" t="str">
        <f>IFERROR(VLOOKUP($I161,'Institution Evaluation'!$A$55:$F$345,2,0),IFERROR(VLOOKUP($I161,'Privacy Analyst Evaluation'!$A$46:$F$120,2,0),""))</f>
        <v/>
      </c>
      <c r="K161" s="209" t="str">
        <f>IFERROR(VLOOKUP($I161,'Institution Evaluation'!$A$55:$F$345,3,0),IFERROR(VLOOKUP($I161,'Privacy Analyst Evaluation'!$A$46:$F$120,3,0),""))&amp;""</f>
        <v/>
      </c>
      <c r="L161" s="209" t="str">
        <f>IFERROR(VLOOKUP($I161,'Institution Evaluation'!$A$55:$F$345,4,0),IFERROR(VLOOKUP($I161,'Privacy Analyst Evaluation'!$A$46:$F$120,4,0),""))&amp;""</f>
        <v/>
      </c>
      <c r="M161" s="209" t="str">
        <f>IFERROR(VLOOKUP($I161,'Institution Evaluation'!$A$55:$F$345,6,0),IFERROR(VLOOKUP($I161,'Privacy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2">
      <c r="A162" s="209" t="str">
        <f>IFERROR(IF($A161+1&gt;'(backend scoring)'!$T$335,"",$A161+1),"")</f>
        <v/>
      </c>
      <c r="B162" s="209" t="str">
        <f>_xlfn.XLOOKUP($A162,'(backend scoring)'!$V$2:$V$333,'(backend scoring)'!$A$2:$A$333,"")</f>
        <v/>
      </c>
      <c r="C162" s="209" t="str">
        <f>IFERROR(VLOOKUP($B162,'Institution Evaluation'!$A$55:$F$345,2,0),IFERROR(VLOOKUP($B162,'Privacy Analyst Evaluation'!$A$46:$F$120,2,0),""))&amp;""</f>
        <v/>
      </c>
      <c r="D162" s="209" t="str">
        <f>IFERROR(VLOOKUP($B162,'Institution Evaluation'!$A$55:$F$345,3,0),IFERROR(VLOOKUP($B162,'Privacy Analyst Evaluation'!$A$46:$F$120,3,0),""))&amp;""</f>
        <v/>
      </c>
      <c r="E162" s="209" t="str">
        <f>IFERROR(VLOOKUP($B162,'Institution Evaluation'!$A$55:$F$345,4,0),IFERROR(VLOOKUP($B162,'Privacy Analyst Evaluation'!$A$46:$F$120,4,0),""))&amp;""</f>
        <v/>
      </c>
      <c r="F162" s="209" t="str">
        <f>IFERROR(VLOOKUP($B162,'Institution Evaluation'!$A$55:$F$345,6,0),IFERROR(VLOOKUP($B162,'Privacy Analyst Evaluation'!$A$46:$F$120,6,0),""))&amp;""</f>
        <v/>
      </c>
      <c r="G162" s="210"/>
      <c r="H162" s="209" t="str">
        <f>IFERROR(IF($H161+1&gt;'(backend scoring)'!$Q$335,"",$H161+1),"")</f>
        <v/>
      </c>
      <c r="I162" s="209" t="str">
        <f>_xlfn.XLOOKUP($H162,'(backend scoring)'!$S$2:$S$333,'(backend scoring)'!$A$2:$A$333,"")</f>
        <v/>
      </c>
      <c r="J162" s="209" t="str">
        <f>IFERROR(VLOOKUP($I162,'Institution Evaluation'!$A$55:$F$345,2,0),IFERROR(VLOOKUP($I162,'Privacy Analyst Evaluation'!$A$46:$F$120,2,0),""))</f>
        <v/>
      </c>
      <c r="K162" s="209" t="str">
        <f>IFERROR(VLOOKUP($I162,'Institution Evaluation'!$A$55:$F$345,3,0),IFERROR(VLOOKUP($I162,'Privacy Analyst Evaluation'!$A$46:$F$120,3,0),""))&amp;""</f>
        <v/>
      </c>
      <c r="L162" s="209" t="str">
        <f>IFERROR(VLOOKUP($I162,'Institution Evaluation'!$A$55:$F$345,4,0),IFERROR(VLOOKUP($I162,'Privacy Analyst Evaluation'!$A$46:$F$120,4,0),""))&amp;""</f>
        <v/>
      </c>
      <c r="M162" s="209" t="str">
        <f>IFERROR(VLOOKUP($I162,'Institution Evaluation'!$A$55:$F$345,6,0),IFERROR(VLOOKUP($I162,'Privacy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2">
      <c r="A163" s="209" t="str">
        <f>IFERROR(IF($A162+1&gt;'(backend scoring)'!$T$335,"",$A162+1),"")</f>
        <v/>
      </c>
      <c r="B163" s="209" t="str">
        <f>_xlfn.XLOOKUP($A163,'(backend scoring)'!$V$2:$V$333,'(backend scoring)'!$A$2:$A$333,"")</f>
        <v/>
      </c>
      <c r="C163" s="209" t="str">
        <f>IFERROR(VLOOKUP($B163,'Institution Evaluation'!$A$55:$F$345,2,0),IFERROR(VLOOKUP($B163,'Privacy Analyst Evaluation'!$A$46:$F$120,2,0),""))&amp;""</f>
        <v/>
      </c>
      <c r="D163" s="209" t="str">
        <f>IFERROR(VLOOKUP($B163,'Institution Evaluation'!$A$55:$F$345,3,0),IFERROR(VLOOKUP($B163,'Privacy Analyst Evaluation'!$A$46:$F$120,3,0),""))&amp;""</f>
        <v/>
      </c>
      <c r="E163" s="209" t="str">
        <f>IFERROR(VLOOKUP($B163,'Institution Evaluation'!$A$55:$F$345,4,0),IFERROR(VLOOKUP($B163,'Privacy Analyst Evaluation'!$A$46:$F$120,4,0),""))&amp;""</f>
        <v/>
      </c>
      <c r="F163" s="209" t="str">
        <f>IFERROR(VLOOKUP($B163,'Institution Evaluation'!$A$55:$F$345,6,0),IFERROR(VLOOKUP($B163,'Privacy Analyst Evaluation'!$A$46:$F$120,6,0),""))&amp;""</f>
        <v/>
      </c>
      <c r="G163" s="210"/>
      <c r="H163" s="209" t="str">
        <f>IFERROR(IF($H162+1&gt;'(backend scoring)'!$Q$335,"",$H162+1),"")</f>
        <v/>
      </c>
      <c r="I163" s="209" t="str">
        <f>_xlfn.XLOOKUP($H163,'(backend scoring)'!$S$2:$S$333,'(backend scoring)'!$A$2:$A$333,"")</f>
        <v/>
      </c>
      <c r="J163" s="209" t="str">
        <f>IFERROR(VLOOKUP($I163,'Institution Evaluation'!$A$55:$F$345,2,0),IFERROR(VLOOKUP($I163,'Privacy Analyst Evaluation'!$A$46:$F$120,2,0),""))</f>
        <v/>
      </c>
      <c r="K163" s="209" t="str">
        <f>IFERROR(VLOOKUP($I163,'Institution Evaluation'!$A$55:$F$345,3,0),IFERROR(VLOOKUP($I163,'Privacy Analyst Evaluation'!$A$46:$F$120,3,0),""))&amp;""</f>
        <v/>
      </c>
      <c r="L163" s="209" t="str">
        <f>IFERROR(VLOOKUP($I163,'Institution Evaluation'!$A$55:$F$345,4,0),IFERROR(VLOOKUP($I163,'Privacy Analyst Evaluation'!$A$46:$F$120,4,0),""))&amp;""</f>
        <v/>
      </c>
      <c r="M163" s="209" t="str">
        <f>IFERROR(VLOOKUP($I163,'Institution Evaluation'!$A$55:$F$345,6,0),IFERROR(VLOOKUP($I163,'Privacy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2">
      <c r="A164" s="209" t="str">
        <f>IFERROR(IF($A163+1&gt;'(backend scoring)'!$T$335,"",$A163+1),"")</f>
        <v/>
      </c>
      <c r="B164" s="209" t="str">
        <f>_xlfn.XLOOKUP($A164,'(backend scoring)'!$V$2:$V$333,'(backend scoring)'!$A$2:$A$333,"")</f>
        <v/>
      </c>
      <c r="C164" s="209" t="str">
        <f>IFERROR(VLOOKUP($B164,'Institution Evaluation'!$A$55:$F$345,2,0),IFERROR(VLOOKUP($B164,'Privacy Analyst Evaluation'!$A$46:$F$120,2,0),""))&amp;""</f>
        <v/>
      </c>
      <c r="D164" s="209" t="str">
        <f>IFERROR(VLOOKUP($B164,'Institution Evaluation'!$A$55:$F$345,3,0),IFERROR(VLOOKUP($B164,'Privacy Analyst Evaluation'!$A$46:$F$120,3,0),""))&amp;""</f>
        <v/>
      </c>
      <c r="E164" s="209" t="str">
        <f>IFERROR(VLOOKUP($B164,'Institution Evaluation'!$A$55:$F$345,4,0),IFERROR(VLOOKUP($B164,'Privacy Analyst Evaluation'!$A$46:$F$120,4,0),""))&amp;""</f>
        <v/>
      </c>
      <c r="F164" s="209" t="str">
        <f>IFERROR(VLOOKUP($B164,'Institution Evaluation'!$A$55:$F$345,6,0),IFERROR(VLOOKUP($B164,'Privacy Analyst Evaluation'!$A$46:$F$120,6,0),""))&amp;""</f>
        <v/>
      </c>
      <c r="G164" s="210"/>
      <c r="H164" s="209" t="str">
        <f>IFERROR(IF($H163+1&gt;'(backend scoring)'!$Q$335,"",$H163+1),"")</f>
        <v/>
      </c>
      <c r="I164" s="209" t="str">
        <f>_xlfn.XLOOKUP($H164,'(backend scoring)'!$S$2:$S$333,'(backend scoring)'!$A$2:$A$333,"")</f>
        <v/>
      </c>
      <c r="J164" s="209" t="str">
        <f>IFERROR(VLOOKUP($I164,'Institution Evaluation'!$A$55:$F$345,2,0),IFERROR(VLOOKUP($I164,'Privacy Analyst Evaluation'!$A$46:$F$120,2,0),""))</f>
        <v/>
      </c>
      <c r="K164" s="209" t="str">
        <f>IFERROR(VLOOKUP($I164,'Institution Evaluation'!$A$55:$F$345,3,0),IFERROR(VLOOKUP($I164,'Privacy Analyst Evaluation'!$A$46:$F$120,3,0),""))&amp;""</f>
        <v/>
      </c>
      <c r="L164" s="209" t="str">
        <f>IFERROR(VLOOKUP($I164,'Institution Evaluation'!$A$55:$F$345,4,0),IFERROR(VLOOKUP($I164,'Privacy Analyst Evaluation'!$A$46:$F$120,4,0),""))&amp;""</f>
        <v/>
      </c>
      <c r="M164" s="209" t="str">
        <f>IFERROR(VLOOKUP($I164,'Institution Evaluation'!$A$55:$F$345,6,0),IFERROR(VLOOKUP($I164,'Privacy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2">
      <c r="A165" s="209" t="str">
        <f>IFERROR(IF($A164+1&gt;'(backend scoring)'!$T$335,"",$A164+1),"")</f>
        <v/>
      </c>
      <c r="B165" s="209" t="str">
        <f>_xlfn.XLOOKUP($A165,'(backend scoring)'!$V$2:$V$333,'(backend scoring)'!$A$2:$A$333,"")</f>
        <v/>
      </c>
      <c r="C165" s="209" t="str">
        <f>IFERROR(VLOOKUP($B165,'Institution Evaluation'!$A$55:$F$345,2,0),IFERROR(VLOOKUP($B165,'Privacy Analyst Evaluation'!$A$46:$F$120,2,0),""))&amp;""</f>
        <v/>
      </c>
      <c r="D165" s="209" t="str">
        <f>IFERROR(VLOOKUP($B165,'Institution Evaluation'!$A$55:$F$345,3,0),IFERROR(VLOOKUP($B165,'Privacy Analyst Evaluation'!$A$46:$F$120,3,0),""))&amp;""</f>
        <v/>
      </c>
      <c r="E165" s="209" t="str">
        <f>IFERROR(VLOOKUP($B165,'Institution Evaluation'!$A$55:$F$345,4,0),IFERROR(VLOOKUP($B165,'Privacy Analyst Evaluation'!$A$46:$F$120,4,0),""))&amp;""</f>
        <v/>
      </c>
      <c r="F165" s="209" t="str">
        <f>IFERROR(VLOOKUP($B165,'Institution Evaluation'!$A$55:$F$345,6,0),IFERROR(VLOOKUP($B165,'Privacy Analyst Evaluation'!$A$46:$F$120,6,0),""))&amp;""</f>
        <v/>
      </c>
      <c r="G165" s="210"/>
      <c r="H165" s="209" t="str">
        <f>IFERROR(IF($H164+1&gt;'(backend scoring)'!$Q$335,"",$H164+1),"")</f>
        <v/>
      </c>
      <c r="I165" s="209" t="str">
        <f>_xlfn.XLOOKUP($H165,'(backend scoring)'!$S$2:$S$333,'(backend scoring)'!$A$2:$A$333,"")</f>
        <v/>
      </c>
      <c r="J165" s="209" t="str">
        <f>IFERROR(VLOOKUP($I165,'Institution Evaluation'!$A$55:$F$345,2,0),IFERROR(VLOOKUP($I165,'Privacy Analyst Evaluation'!$A$46:$F$120,2,0),""))</f>
        <v/>
      </c>
      <c r="K165" s="209" t="str">
        <f>IFERROR(VLOOKUP($I165,'Institution Evaluation'!$A$55:$F$345,3,0),IFERROR(VLOOKUP($I165,'Privacy Analyst Evaluation'!$A$46:$F$120,3,0),""))&amp;""</f>
        <v/>
      </c>
      <c r="L165" s="209" t="str">
        <f>IFERROR(VLOOKUP($I165,'Institution Evaluation'!$A$55:$F$345,4,0),IFERROR(VLOOKUP($I165,'Privacy Analyst Evaluation'!$A$46:$F$120,4,0),""))&amp;""</f>
        <v/>
      </c>
      <c r="M165" s="209" t="str">
        <f>IFERROR(VLOOKUP($I165,'Institution Evaluation'!$A$55:$F$345,6,0),IFERROR(VLOOKUP($I165,'Privacy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2">
      <c r="A166" s="209" t="str">
        <f>IFERROR(IF($A165+1&gt;'(backend scoring)'!$T$335,"",$A165+1),"")</f>
        <v/>
      </c>
      <c r="B166" s="209" t="str">
        <f>_xlfn.XLOOKUP($A166,'(backend scoring)'!$V$2:$V$333,'(backend scoring)'!$A$2:$A$333,"")</f>
        <v/>
      </c>
      <c r="C166" s="209" t="str">
        <f>IFERROR(VLOOKUP($B166,'Institution Evaluation'!$A$55:$F$345,2,0),IFERROR(VLOOKUP($B166,'Privacy Analyst Evaluation'!$A$46:$F$120,2,0),""))&amp;""</f>
        <v/>
      </c>
      <c r="D166" s="209" t="str">
        <f>IFERROR(VLOOKUP($B166,'Institution Evaluation'!$A$55:$F$345,3,0),IFERROR(VLOOKUP($B166,'Privacy Analyst Evaluation'!$A$46:$F$120,3,0),""))&amp;""</f>
        <v/>
      </c>
      <c r="E166" s="209" t="str">
        <f>IFERROR(VLOOKUP($B166,'Institution Evaluation'!$A$55:$F$345,4,0),IFERROR(VLOOKUP($B166,'Privacy Analyst Evaluation'!$A$46:$F$120,4,0),""))&amp;""</f>
        <v/>
      </c>
      <c r="F166" s="209" t="str">
        <f>IFERROR(VLOOKUP($B166,'Institution Evaluation'!$A$55:$F$345,6,0),IFERROR(VLOOKUP($B166,'Privacy Analyst Evaluation'!$A$46:$F$120,6,0),""))&amp;""</f>
        <v/>
      </c>
      <c r="G166" s="210"/>
      <c r="H166" s="209" t="str">
        <f>IFERROR(IF($H165+1&gt;'(backend scoring)'!$Q$335,"",$H165+1),"")</f>
        <v/>
      </c>
      <c r="I166" s="209" t="str">
        <f>_xlfn.XLOOKUP($H166,'(backend scoring)'!$S$2:$S$333,'(backend scoring)'!$A$2:$A$333,"")</f>
        <v/>
      </c>
      <c r="J166" s="209" t="str">
        <f>IFERROR(VLOOKUP($I166,'Institution Evaluation'!$A$55:$F$345,2,0),IFERROR(VLOOKUP($I166,'Privacy Analyst Evaluation'!$A$46:$F$120,2,0),""))</f>
        <v/>
      </c>
      <c r="K166" s="209" t="str">
        <f>IFERROR(VLOOKUP($I166,'Institution Evaluation'!$A$55:$F$345,3,0),IFERROR(VLOOKUP($I166,'Privacy Analyst Evaluation'!$A$46:$F$120,3,0),""))&amp;""</f>
        <v/>
      </c>
      <c r="L166" s="209" t="str">
        <f>IFERROR(VLOOKUP($I166,'Institution Evaluation'!$A$55:$F$345,4,0),IFERROR(VLOOKUP($I166,'Privacy Analyst Evaluation'!$A$46:$F$120,4,0),""))&amp;""</f>
        <v/>
      </c>
      <c r="M166" s="209" t="str">
        <f>IFERROR(VLOOKUP($I166,'Institution Evaluation'!$A$55:$F$345,6,0),IFERROR(VLOOKUP($I166,'Privacy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2">
      <c r="A167" s="209" t="str">
        <f>IFERROR(IF($A166+1&gt;'(backend scoring)'!$T$335,"",$A166+1),"")</f>
        <v/>
      </c>
      <c r="B167" s="209" t="str">
        <f>_xlfn.XLOOKUP($A167,'(backend scoring)'!$V$2:$V$333,'(backend scoring)'!$A$2:$A$333,"")</f>
        <v/>
      </c>
      <c r="C167" s="209" t="str">
        <f>IFERROR(VLOOKUP($B167,'Institution Evaluation'!$A$55:$F$345,2,0),IFERROR(VLOOKUP($B167,'Privacy Analyst Evaluation'!$A$46:$F$120,2,0),""))&amp;""</f>
        <v/>
      </c>
      <c r="D167" s="209" t="str">
        <f>IFERROR(VLOOKUP($B167,'Institution Evaluation'!$A$55:$F$345,3,0),IFERROR(VLOOKUP($B167,'Privacy Analyst Evaluation'!$A$46:$F$120,3,0),""))&amp;""</f>
        <v/>
      </c>
      <c r="E167" s="209" t="str">
        <f>IFERROR(VLOOKUP($B167,'Institution Evaluation'!$A$55:$F$345,4,0),IFERROR(VLOOKUP($B167,'Privacy Analyst Evaluation'!$A$46:$F$120,4,0),""))&amp;""</f>
        <v/>
      </c>
      <c r="F167" s="209" t="str">
        <f>IFERROR(VLOOKUP($B167,'Institution Evaluation'!$A$55:$F$345,6,0),IFERROR(VLOOKUP($B167,'Privacy Analyst Evaluation'!$A$46:$F$120,6,0),""))&amp;""</f>
        <v/>
      </c>
      <c r="G167" s="210"/>
      <c r="H167" s="209" t="str">
        <f>IFERROR(IF($H166+1&gt;'(backend scoring)'!$Q$335,"",$H166+1),"")</f>
        <v/>
      </c>
      <c r="I167" s="209" t="str">
        <f>_xlfn.XLOOKUP($H167,'(backend scoring)'!$S$2:$S$333,'(backend scoring)'!$A$2:$A$333,"")</f>
        <v/>
      </c>
      <c r="J167" s="209" t="str">
        <f>IFERROR(VLOOKUP($I167,'Institution Evaluation'!$A$55:$F$345,2,0),IFERROR(VLOOKUP($I167,'Privacy Analyst Evaluation'!$A$46:$F$120,2,0),""))</f>
        <v/>
      </c>
      <c r="K167" s="209" t="str">
        <f>IFERROR(VLOOKUP($I167,'Institution Evaluation'!$A$55:$F$345,3,0),IFERROR(VLOOKUP($I167,'Privacy Analyst Evaluation'!$A$46:$F$120,3,0),""))&amp;""</f>
        <v/>
      </c>
      <c r="L167" s="209" t="str">
        <f>IFERROR(VLOOKUP($I167,'Institution Evaluation'!$A$55:$F$345,4,0),IFERROR(VLOOKUP($I167,'Privacy Analyst Evaluation'!$A$46:$F$120,4,0),""))&amp;""</f>
        <v/>
      </c>
      <c r="M167" s="209" t="str">
        <f>IFERROR(VLOOKUP($I167,'Institution Evaluation'!$A$55:$F$345,6,0),IFERROR(VLOOKUP($I167,'Privacy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2">
      <c r="A168" s="209" t="str">
        <f>IFERROR(IF($A167+1&gt;'(backend scoring)'!$T$335,"",$A167+1),"")</f>
        <v/>
      </c>
      <c r="B168" s="209" t="str">
        <f>_xlfn.XLOOKUP($A168,'(backend scoring)'!$V$2:$V$333,'(backend scoring)'!$A$2:$A$333,"")</f>
        <v/>
      </c>
      <c r="C168" s="209" t="str">
        <f>IFERROR(VLOOKUP($B168,'Institution Evaluation'!$A$55:$F$345,2,0),IFERROR(VLOOKUP($B168,'Privacy Analyst Evaluation'!$A$46:$F$120,2,0),""))&amp;""</f>
        <v/>
      </c>
      <c r="D168" s="209" t="str">
        <f>IFERROR(VLOOKUP($B168,'Institution Evaluation'!$A$55:$F$345,3,0),IFERROR(VLOOKUP($B168,'Privacy Analyst Evaluation'!$A$46:$F$120,3,0),""))&amp;""</f>
        <v/>
      </c>
      <c r="E168" s="209" t="str">
        <f>IFERROR(VLOOKUP($B168,'Institution Evaluation'!$A$55:$F$345,4,0),IFERROR(VLOOKUP($B168,'Privacy Analyst Evaluation'!$A$46:$F$120,4,0),""))&amp;""</f>
        <v/>
      </c>
      <c r="F168" s="209" t="str">
        <f>IFERROR(VLOOKUP($B168,'Institution Evaluation'!$A$55:$F$345,6,0),IFERROR(VLOOKUP($B168,'Privacy Analyst Evaluation'!$A$46:$F$120,6,0),""))&amp;""</f>
        <v/>
      </c>
      <c r="G168" s="210"/>
      <c r="H168" s="209" t="str">
        <f>IFERROR(IF($H167+1&gt;'(backend scoring)'!$Q$335,"",$H167+1),"")</f>
        <v/>
      </c>
      <c r="I168" s="209" t="str">
        <f>_xlfn.XLOOKUP($H168,'(backend scoring)'!$S$2:$S$333,'(backend scoring)'!$A$2:$A$333,"")</f>
        <v/>
      </c>
      <c r="J168" s="209" t="str">
        <f>IFERROR(VLOOKUP($I168,'Institution Evaluation'!$A$55:$F$345,2,0),IFERROR(VLOOKUP($I168,'Privacy Analyst Evaluation'!$A$46:$F$120,2,0),""))</f>
        <v/>
      </c>
      <c r="K168" s="209" t="str">
        <f>IFERROR(VLOOKUP($I168,'Institution Evaluation'!$A$55:$F$345,3,0),IFERROR(VLOOKUP($I168,'Privacy Analyst Evaluation'!$A$46:$F$120,3,0),""))&amp;""</f>
        <v/>
      </c>
      <c r="L168" s="209" t="str">
        <f>IFERROR(VLOOKUP($I168,'Institution Evaluation'!$A$55:$F$345,4,0),IFERROR(VLOOKUP($I168,'Privacy Analyst Evaluation'!$A$46:$F$120,4,0),""))&amp;""</f>
        <v/>
      </c>
      <c r="M168" s="209" t="str">
        <f>IFERROR(VLOOKUP($I168,'Institution Evaluation'!$A$55:$F$345,6,0),IFERROR(VLOOKUP($I168,'Privacy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2">
      <c r="A169" s="209" t="str">
        <f>IFERROR(IF($A168+1&gt;'(backend scoring)'!$T$335,"",$A168+1),"")</f>
        <v/>
      </c>
      <c r="B169" s="209" t="str">
        <f>_xlfn.XLOOKUP($A169,'(backend scoring)'!$V$2:$V$333,'(backend scoring)'!$A$2:$A$333,"")</f>
        <v/>
      </c>
      <c r="C169" s="209" t="str">
        <f>IFERROR(VLOOKUP($B169,'Institution Evaluation'!$A$55:$F$345,2,0),IFERROR(VLOOKUP($B169,'Privacy Analyst Evaluation'!$A$46:$F$120,2,0),""))&amp;""</f>
        <v/>
      </c>
      <c r="D169" s="209" t="str">
        <f>IFERROR(VLOOKUP($B169,'Institution Evaluation'!$A$55:$F$345,3,0),IFERROR(VLOOKUP($B169,'Privacy Analyst Evaluation'!$A$46:$F$120,3,0),""))&amp;""</f>
        <v/>
      </c>
      <c r="E169" s="209" t="str">
        <f>IFERROR(VLOOKUP($B169,'Institution Evaluation'!$A$55:$F$345,4,0),IFERROR(VLOOKUP($B169,'Privacy Analyst Evaluation'!$A$46:$F$120,4,0),""))&amp;""</f>
        <v/>
      </c>
      <c r="F169" s="209" t="str">
        <f>IFERROR(VLOOKUP($B169,'Institution Evaluation'!$A$55:$F$345,6,0),IFERROR(VLOOKUP($B169,'Privacy Analyst Evaluation'!$A$46:$F$120,6,0),""))&amp;""</f>
        <v/>
      </c>
      <c r="G169" s="210"/>
      <c r="H169" s="209" t="str">
        <f>IFERROR(IF($H168+1&gt;'(backend scoring)'!$Q$335,"",$H168+1),"")</f>
        <v/>
      </c>
      <c r="I169" s="209" t="str">
        <f>_xlfn.XLOOKUP($H169,'(backend scoring)'!$S$2:$S$333,'(backend scoring)'!$A$2:$A$333,"")</f>
        <v/>
      </c>
      <c r="J169" s="209" t="str">
        <f>IFERROR(VLOOKUP($I169,'Institution Evaluation'!$A$55:$F$345,2,0),IFERROR(VLOOKUP($I169,'Privacy Analyst Evaluation'!$A$46:$F$120,2,0),""))</f>
        <v/>
      </c>
      <c r="K169" s="209" t="str">
        <f>IFERROR(VLOOKUP($I169,'Institution Evaluation'!$A$55:$F$345,3,0),IFERROR(VLOOKUP($I169,'Privacy Analyst Evaluation'!$A$46:$F$120,3,0),""))&amp;""</f>
        <v/>
      </c>
      <c r="L169" s="209" t="str">
        <f>IFERROR(VLOOKUP($I169,'Institution Evaluation'!$A$55:$F$345,4,0),IFERROR(VLOOKUP($I169,'Privacy Analyst Evaluation'!$A$46:$F$120,4,0),""))&amp;""</f>
        <v/>
      </c>
      <c r="M169" s="209" t="str">
        <f>IFERROR(VLOOKUP($I169,'Institution Evaluation'!$A$55:$F$345,6,0),IFERROR(VLOOKUP($I169,'Privacy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2">
      <c r="A170" s="209" t="str">
        <f>IFERROR(IF($A169+1&gt;'(backend scoring)'!$T$335,"",$A169+1),"")</f>
        <v/>
      </c>
      <c r="B170" s="209" t="str">
        <f>_xlfn.XLOOKUP($A170,'(backend scoring)'!$V$2:$V$333,'(backend scoring)'!$A$2:$A$333,"")</f>
        <v/>
      </c>
      <c r="C170" s="209" t="str">
        <f>IFERROR(VLOOKUP($B170,'Institution Evaluation'!$A$55:$F$345,2,0),IFERROR(VLOOKUP($B170,'Privacy Analyst Evaluation'!$A$46:$F$120,2,0),""))&amp;""</f>
        <v/>
      </c>
      <c r="D170" s="209" t="str">
        <f>IFERROR(VLOOKUP($B170,'Institution Evaluation'!$A$55:$F$345,3,0),IFERROR(VLOOKUP($B170,'Privacy Analyst Evaluation'!$A$46:$F$120,3,0),""))&amp;""</f>
        <v/>
      </c>
      <c r="E170" s="209" t="str">
        <f>IFERROR(VLOOKUP($B170,'Institution Evaluation'!$A$55:$F$345,4,0),IFERROR(VLOOKUP($B170,'Privacy Analyst Evaluation'!$A$46:$F$120,4,0),""))&amp;""</f>
        <v/>
      </c>
      <c r="F170" s="209" t="str">
        <f>IFERROR(VLOOKUP($B170,'Institution Evaluation'!$A$55:$F$345,6,0),IFERROR(VLOOKUP($B170,'Privacy Analyst Evaluation'!$A$46:$F$120,6,0),""))&amp;""</f>
        <v/>
      </c>
      <c r="G170" s="210"/>
      <c r="H170" s="209" t="str">
        <f>IFERROR(IF($H169+1&gt;'(backend scoring)'!$Q$335,"",$H169+1),"")</f>
        <v/>
      </c>
      <c r="I170" s="209" t="str">
        <f>_xlfn.XLOOKUP($H170,'(backend scoring)'!$S$2:$S$333,'(backend scoring)'!$A$2:$A$333,"")</f>
        <v/>
      </c>
      <c r="J170" s="209" t="str">
        <f>IFERROR(VLOOKUP($I170,'Institution Evaluation'!$A$55:$F$345,2,0),IFERROR(VLOOKUP($I170,'Privacy Analyst Evaluation'!$A$46:$F$120,2,0),""))</f>
        <v/>
      </c>
      <c r="K170" s="209" t="str">
        <f>IFERROR(VLOOKUP($I170,'Institution Evaluation'!$A$55:$F$345,3,0),IFERROR(VLOOKUP($I170,'Privacy Analyst Evaluation'!$A$46:$F$120,3,0),""))&amp;""</f>
        <v/>
      </c>
      <c r="L170" s="209" t="str">
        <f>IFERROR(VLOOKUP($I170,'Institution Evaluation'!$A$55:$F$345,4,0),IFERROR(VLOOKUP($I170,'Privacy Analyst Evaluation'!$A$46:$F$120,4,0),""))&amp;""</f>
        <v/>
      </c>
      <c r="M170" s="209" t="str">
        <f>IFERROR(VLOOKUP($I170,'Institution Evaluation'!$A$55:$F$345,6,0),IFERROR(VLOOKUP($I170,'Privacy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2">
      <c r="A171" s="209" t="str">
        <f>IFERROR(IF($A170+1&gt;'(backend scoring)'!$T$335,"",$A170+1),"")</f>
        <v/>
      </c>
      <c r="B171" s="209" t="str">
        <f>_xlfn.XLOOKUP($A171,'(backend scoring)'!$V$2:$V$333,'(backend scoring)'!$A$2:$A$333,"")</f>
        <v/>
      </c>
      <c r="C171" s="209" t="str">
        <f>IFERROR(VLOOKUP($B171,'Institution Evaluation'!$A$55:$F$345,2,0),IFERROR(VLOOKUP($B171,'Privacy Analyst Evaluation'!$A$46:$F$120,2,0),""))&amp;""</f>
        <v/>
      </c>
      <c r="D171" s="209" t="str">
        <f>IFERROR(VLOOKUP($B171,'Institution Evaluation'!$A$55:$F$345,3,0),IFERROR(VLOOKUP($B171,'Privacy Analyst Evaluation'!$A$46:$F$120,3,0),""))&amp;""</f>
        <v/>
      </c>
      <c r="E171" s="209" t="str">
        <f>IFERROR(VLOOKUP($B171,'Institution Evaluation'!$A$55:$F$345,4,0),IFERROR(VLOOKUP($B171,'Privacy Analyst Evaluation'!$A$46:$F$120,4,0),""))&amp;""</f>
        <v/>
      </c>
      <c r="F171" s="209" t="str">
        <f>IFERROR(VLOOKUP($B171,'Institution Evaluation'!$A$55:$F$345,6,0),IFERROR(VLOOKUP($B171,'Privacy Analyst Evaluation'!$A$46:$F$120,6,0),""))&amp;""</f>
        <v/>
      </c>
      <c r="G171" s="210"/>
      <c r="H171" s="209" t="str">
        <f>IFERROR(IF($H170+1&gt;'(backend scoring)'!$Q$335,"",$H170+1),"")</f>
        <v/>
      </c>
      <c r="I171" s="209" t="str">
        <f>_xlfn.XLOOKUP($H171,'(backend scoring)'!$S$2:$S$333,'(backend scoring)'!$A$2:$A$333,"")</f>
        <v/>
      </c>
      <c r="J171" s="209" t="str">
        <f>IFERROR(VLOOKUP($I171,'Institution Evaluation'!$A$55:$F$345,2,0),IFERROR(VLOOKUP($I171,'Privacy Analyst Evaluation'!$A$46:$F$120,2,0),""))</f>
        <v/>
      </c>
      <c r="K171" s="209" t="str">
        <f>IFERROR(VLOOKUP($I171,'Institution Evaluation'!$A$55:$F$345,3,0),IFERROR(VLOOKUP($I171,'Privacy Analyst Evaluation'!$A$46:$F$120,3,0),""))&amp;""</f>
        <v/>
      </c>
      <c r="L171" s="209" t="str">
        <f>IFERROR(VLOOKUP($I171,'Institution Evaluation'!$A$55:$F$345,4,0),IFERROR(VLOOKUP($I171,'Privacy Analyst Evaluation'!$A$46:$F$120,4,0),""))&amp;""</f>
        <v/>
      </c>
      <c r="M171" s="209" t="str">
        <f>IFERROR(VLOOKUP($I171,'Institution Evaluation'!$A$55:$F$345,6,0),IFERROR(VLOOKUP($I171,'Privacy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2">
      <c r="A172" s="209" t="str">
        <f>IFERROR(IF($A171+1&gt;'(backend scoring)'!$T$335,"",$A171+1),"")</f>
        <v/>
      </c>
      <c r="B172" s="209" t="str">
        <f>_xlfn.XLOOKUP($A172,'(backend scoring)'!$V$2:$V$333,'(backend scoring)'!$A$2:$A$333,"")</f>
        <v/>
      </c>
      <c r="C172" s="209" t="str">
        <f>IFERROR(VLOOKUP($B172,'Institution Evaluation'!$A$55:$F$345,2,0),IFERROR(VLOOKUP($B172,'Privacy Analyst Evaluation'!$A$46:$F$120,2,0),""))&amp;""</f>
        <v/>
      </c>
      <c r="D172" s="209" t="str">
        <f>IFERROR(VLOOKUP($B172,'Institution Evaluation'!$A$55:$F$345,3,0),IFERROR(VLOOKUP($B172,'Privacy Analyst Evaluation'!$A$46:$F$120,3,0),""))&amp;""</f>
        <v/>
      </c>
      <c r="E172" s="209" t="str">
        <f>IFERROR(VLOOKUP($B172,'Institution Evaluation'!$A$55:$F$345,4,0),IFERROR(VLOOKUP($B172,'Privacy Analyst Evaluation'!$A$46:$F$120,4,0),""))&amp;""</f>
        <v/>
      </c>
      <c r="F172" s="209" t="str">
        <f>IFERROR(VLOOKUP($B172,'Institution Evaluation'!$A$55:$F$345,6,0),IFERROR(VLOOKUP($B172,'Privacy Analyst Evaluation'!$A$46:$F$120,6,0),""))&amp;""</f>
        <v/>
      </c>
      <c r="G172" s="210"/>
      <c r="H172" s="209" t="str">
        <f>IFERROR(IF($H171+1&gt;'(backend scoring)'!$Q$335,"",$H171+1),"")</f>
        <v/>
      </c>
      <c r="I172" s="209" t="str">
        <f>_xlfn.XLOOKUP($H172,'(backend scoring)'!$S$2:$S$333,'(backend scoring)'!$A$2:$A$333,"")</f>
        <v/>
      </c>
      <c r="J172" s="209" t="str">
        <f>IFERROR(VLOOKUP($I172,'Institution Evaluation'!$A$55:$F$345,2,0),IFERROR(VLOOKUP($I172,'Privacy Analyst Evaluation'!$A$46:$F$120,2,0),""))</f>
        <v/>
      </c>
      <c r="K172" s="209" t="str">
        <f>IFERROR(VLOOKUP($I172,'Institution Evaluation'!$A$55:$F$345,3,0),IFERROR(VLOOKUP($I172,'Privacy Analyst Evaluation'!$A$46:$F$120,3,0),""))&amp;""</f>
        <v/>
      </c>
      <c r="L172" s="209" t="str">
        <f>IFERROR(VLOOKUP($I172,'Institution Evaluation'!$A$55:$F$345,4,0),IFERROR(VLOOKUP($I172,'Privacy Analyst Evaluation'!$A$46:$F$120,4,0),""))&amp;""</f>
        <v/>
      </c>
      <c r="M172" s="209" t="str">
        <f>IFERROR(VLOOKUP($I172,'Institution Evaluation'!$A$55:$F$345,6,0),IFERROR(VLOOKUP($I172,'Privacy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2">
      <c r="A173" s="209" t="str">
        <f>IFERROR(IF($A172+1&gt;'(backend scoring)'!$T$335,"",$A172+1),"")</f>
        <v/>
      </c>
      <c r="B173" s="209" t="str">
        <f>_xlfn.XLOOKUP($A173,'(backend scoring)'!$V$2:$V$333,'(backend scoring)'!$A$2:$A$333,"")</f>
        <v/>
      </c>
      <c r="C173" s="209" t="str">
        <f>IFERROR(VLOOKUP($B173,'Institution Evaluation'!$A$55:$F$345,2,0),IFERROR(VLOOKUP($B173,'Privacy Analyst Evaluation'!$A$46:$F$120,2,0),""))&amp;""</f>
        <v/>
      </c>
      <c r="D173" s="209" t="str">
        <f>IFERROR(VLOOKUP($B173,'Institution Evaluation'!$A$55:$F$345,3,0),IFERROR(VLOOKUP($B173,'Privacy Analyst Evaluation'!$A$46:$F$120,3,0),""))&amp;""</f>
        <v/>
      </c>
      <c r="E173" s="209" t="str">
        <f>IFERROR(VLOOKUP($B173,'Institution Evaluation'!$A$55:$F$345,4,0),IFERROR(VLOOKUP($B173,'Privacy Analyst Evaluation'!$A$46:$F$120,4,0),""))&amp;""</f>
        <v/>
      </c>
      <c r="F173" s="209" t="str">
        <f>IFERROR(VLOOKUP($B173,'Institution Evaluation'!$A$55:$F$345,6,0),IFERROR(VLOOKUP($B173,'Privacy Analyst Evaluation'!$A$46:$F$120,6,0),""))&amp;""</f>
        <v/>
      </c>
      <c r="G173" s="210"/>
      <c r="H173" s="209" t="str">
        <f>IFERROR(IF($H172+1&gt;'(backend scoring)'!$Q$335,"",$H172+1),"")</f>
        <v/>
      </c>
      <c r="I173" s="209" t="str">
        <f>_xlfn.XLOOKUP($H173,'(backend scoring)'!$S$2:$S$333,'(backend scoring)'!$A$2:$A$333,"")</f>
        <v/>
      </c>
      <c r="J173" s="209" t="str">
        <f>IFERROR(VLOOKUP($I173,'Institution Evaluation'!$A$55:$F$345,2,0),IFERROR(VLOOKUP($I173,'Privacy Analyst Evaluation'!$A$46:$F$120,2,0),""))</f>
        <v/>
      </c>
      <c r="K173" s="209" t="str">
        <f>IFERROR(VLOOKUP($I173,'Institution Evaluation'!$A$55:$F$345,3,0),IFERROR(VLOOKUP($I173,'Privacy Analyst Evaluation'!$A$46:$F$120,3,0),""))&amp;""</f>
        <v/>
      </c>
      <c r="L173" s="209" t="str">
        <f>IFERROR(VLOOKUP($I173,'Institution Evaluation'!$A$55:$F$345,4,0),IFERROR(VLOOKUP($I173,'Privacy Analyst Evaluation'!$A$46:$F$120,4,0),""))&amp;""</f>
        <v/>
      </c>
      <c r="M173" s="209" t="str">
        <f>IFERROR(VLOOKUP($I173,'Institution Evaluation'!$A$55:$F$345,6,0),IFERROR(VLOOKUP($I173,'Privacy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2">
      <c r="A174" s="209" t="str">
        <f>IFERROR(IF($A173+1&gt;'(backend scoring)'!$T$335,"",$A173+1),"")</f>
        <v/>
      </c>
      <c r="B174" s="209" t="str">
        <f>_xlfn.XLOOKUP($A174,'(backend scoring)'!$V$2:$V$333,'(backend scoring)'!$A$2:$A$333,"")</f>
        <v/>
      </c>
      <c r="C174" s="209" t="str">
        <f>IFERROR(VLOOKUP($B174,'Institution Evaluation'!$A$55:$F$345,2,0),IFERROR(VLOOKUP($B174,'Privacy Analyst Evaluation'!$A$46:$F$120,2,0),""))&amp;""</f>
        <v/>
      </c>
      <c r="D174" s="209" t="str">
        <f>IFERROR(VLOOKUP($B174,'Institution Evaluation'!$A$55:$F$345,3,0),IFERROR(VLOOKUP($B174,'Privacy Analyst Evaluation'!$A$46:$F$120,3,0),""))&amp;""</f>
        <v/>
      </c>
      <c r="E174" s="209" t="str">
        <f>IFERROR(VLOOKUP($B174,'Institution Evaluation'!$A$55:$F$345,4,0),IFERROR(VLOOKUP($B174,'Privacy Analyst Evaluation'!$A$46:$F$120,4,0),""))&amp;""</f>
        <v/>
      </c>
      <c r="F174" s="209" t="str">
        <f>IFERROR(VLOOKUP($B174,'Institution Evaluation'!$A$55:$F$345,6,0),IFERROR(VLOOKUP($B174,'Privacy Analyst Evaluation'!$A$46:$F$120,6,0),""))&amp;""</f>
        <v/>
      </c>
      <c r="G174" s="210"/>
      <c r="H174" s="209" t="str">
        <f>IFERROR(IF($H173+1&gt;'(backend scoring)'!$Q$335,"",$H173+1),"")</f>
        <v/>
      </c>
      <c r="I174" s="209" t="str">
        <f>_xlfn.XLOOKUP($H174,'(backend scoring)'!$S$2:$S$333,'(backend scoring)'!$A$2:$A$333,"")</f>
        <v/>
      </c>
      <c r="J174" s="209" t="str">
        <f>IFERROR(VLOOKUP($I174,'Institution Evaluation'!$A$55:$F$345,2,0),IFERROR(VLOOKUP($I174,'Privacy Analyst Evaluation'!$A$46:$F$120,2,0),""))</f>
        <v/>
      </c>
      <c r="K174" s="209" t="str">
        <f>IFERROR(VLOOKUP($I174,'Institution Evaluation'!$A$55:$F$345,3,0),IFERROR(VLOOKUP($I174,'Privacy Analyst Evaluation'!$A$46:$F$120,3,0),""))&amp;""</f>
        <v/>
      </c>
      <c r="L174" s="209" t="str">
        <f>IFERROR(VLOOKUP($I174,'Institution Evaluation'!$A$55:$F$345,4,0),IFERROR(VLOOKUP($I174,'Privacy Analyst Evaluation'!$A$46:$F$120,4,0),""))&amp;""</f>
        <v/>
      </c>
      <c r="M174" s="209" t="str">
        <f>IFERROR(VLOOKUP($I174,'Institution Evaluation'!$A$55:$F$345,6,0),IFERROR(VLOOKUP($I174,'Privacy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2">
      <c r="A175" s="209" t="str">
        <f>IFERROR(IF($A174+1&gt;'(backend scoring)'!$T$335,"",$A174+1),"")</f>
        <v/>
      </c>
      <c r="B175" s="209" t="str">
        <f>_xlfn.XLOOKUP($A175,'(backend scoring)'!$V$2:$V$333,'(backend scoring)'!$A$2:$A$333,"")</f>
        <v/>
      </c>
      <c r="C175" s="209" t="str">
        <f>IFERROR(VLOOKUP($B175,'Institution Evaluation'!$A$55:$F$345,2,0),IFERROR(VLOOKUP($B175,'Privacy Analyst Evaluation'!$A$46:$F$120,2,0),""))&amp;""</f>
        <v/>
      </c>
      <c r="D175" s="209" t="str">
        <f>IFERROR(VLOOKUP($B175,'Institution Evaluation'!$A$55:$F$345,3,0),IFERROR(VLOOKUP($B175,'Privacy Analyst Evaluation'!$A$46:$F$120,3,0),""))&amp;""</f>
        <v/>
      </c>
      <c r="E175" s="209" t="str">
        <f>IFERROR(VLOOKUP($B175,'Institution Evaluation'!$A$55:$F$345,4,0),IFERROR(VLOOKUP($B175,'Privacy Analyst Evaluation'!$A$46:$F$120,4,0),""))&amp;""</f>
        <v/>
      </c>
      <c r="F175" s="209" t="str">
        <f>IFERROR(VLOOKUP($B175,'Institution Evaluation'!$A$55:$F$345,6,0),IFERROR(VLOOKUP($B175,'Privacy Analyst Evaluation'!$A$46:$F$120,6,0),""))&amp;""</f>
        <v/>
      </c>
      <c r="G175" s="210"/>
      <c r="H175" s="209" t="str">
        <f>IFERROR(IF($H174+1&gt;'(backend scoring)'!$Q$335,"",$H174+1),"")</f>
        <v/>
      </c>
      <c r="I175" s="209" t="str">
        <f>_xlfn.XLOOKUP($H175,'(backend scoring)'!$S$2:$S$333,'(backend scoring)'!$A$2:$A$333,"")</f>
        <v/>
      </c>
      <c r="J175" s="209" t="str">
        <f>IFERROR(VLOOKUP($I175,'Institution Evaluation'!$A$55:$F$345,2,0),IFERROR(VLOOKUP($I175,'Privacy Analyst Evaluation'!$A$46:$F$120,2,0),""))</f>
        <v/>
      </c>
      <c r="K175" s="209" t="str">
        <f>IFERROR(VLOOKUP($I175,'Institution Evaluation'!$A$55:$F$345,3,0),IFERROR(VLOOKUP($I175,'Privacy Analyst Evaluation'!$A$46:$F$120,3,0),""))&amp;""</f>
        <v/>
      </c>
      <c r="L175" s="209" t="str">
        <f>IFERROR(VLOOKUP($I175,'Institution Evaluation'!$A$55:$F$345,4,0),IFERROR(VLOOKUP($I175,'Privacy Analyst Evaluation'!$A$46:$F$120,4,0),""))&amp;""</f>
        <v/>
      </c>
      <c r="M175" s="209" t="str">
        <f>IFERROR(VLOOKUP($I175,'Institution Evaluation'!$A$55:$F$345,6,0),IFERROR(VLOOKUP($I175,'Privacy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2">
      <c r="A176" s="209" t="str">
        <f>IFERROR(IF($A175+1&gt;'(backend scoring)'!$T$335,"",$A175+1),"")</f>
        <v/>
      </c>
      <c r="B176" s="209" t="str">
        <f>_xlfn.XLOOKUP($A176,'(backend scoring)'!$V$2:$V$333,'(backend scoring)'!$A$2:$A$333,"")</f>
        <v/>
      </c>
      <c r="C176" s="209" t="str">
        <f>IFERROR(VLOOKUP($B176,'Institution Evaluation'!$A$55:$F$345,2,0),IFERROR(VLOOKUP($B176,'Privacy Analyst Evaluation'!$A$46:$F$120,2,0),""))&amp;""</f>
        <v/>
      </c>
      <c r="D176" s="209" t="str">
        <f>IFERROR(VLOOKUP($B176,'Institution Evaluation'!$A$55:$F$345,3,0),IFERROR(VLOOKUP($B176,'Privacy Analyst Evaluation'!$A$46:$F$120,3,0),""))&amp;""</f>
        <v/>
      </c>
      <c r="E176" s="209" t="str">
        <f>IFERROR(VLOOKUP($B176,'Institution Evaluation'!$A$55:$F$345,4,0),IFERROR(VLOOKUP($B176,'Privacy Analyst Evaluation'!$A$46:$F$120,4,0),""))&amp;""</f>
        <v/>
      </c>
      <c r="F176" s="209" t="str">
        <f>IFERROR(VLOOKUP($B176,'Institution Evaluation'!$A$55:$F$345,6,0),IFERROR(VLOOKUP($B176,'Privacy Analyst Evaluation'!$A$46:$F$120,6,0),""))&amp;""</f>
        <v/>
      </c>
      <c r="G176" s="210"/>
      <c r="H176" s="209" t="str">
        <f>IFERROR(IF($H175+1&gt;'(backend scoring)'!$Q$335,"",$H175+1),"")</f>
        <v/>
      </c>
      <c r="I176" s="209" t="str">
        <f>_xlfn.XLOOKUP($H176,'(backend scoring)'!$S$2:$S$333,'(backend scoring)'!$A$2:$A$333,"")</f>
        <v/>
      </c>
      <c r="J176" s="209" t="str">
        <f>IFERROR(VLOOKUP($I176,'Institution Evaluation'!$A$55:$F$345,2,0),IFERROR(VLOOKUP($I176,'Privacy Analyst Evaluation'!$A$46:$F$120,2,0),""))</f>
        <v/>
      </c>
      <c r="K176" s="209" t="str">
        <f>IFERROR(VLOOKUP($I176,'Institution Evaluation'!$A$55:$F$345,3,0),IFERROR(VLOOKUP($I176,'Privacy Analyst Evaluation'!$A$46:$F$120,3,0),""))&amp;""</f>
        <v/>
      </c>
      <c r="L176" s="209" t="str">
        <f>IFERROR(VLOOKUP($I176,'Institution Evaluation'!$A$55:$F$345,4,0),IFERROR(VLOOKUP($I176,'Privacy Analyst Evaluation'!$A$46:$F$120,4,0),""))&amp;""</f>
        <v/>
      </c>
      <c r="M176" s="209" t="str">
        <f>IFERROR(VLOOKUP($I176,'Institution Evaluation'!$A$55:$F$345,6,0),IFERROR(VLOOKUP($I176,'Privacy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2">
      <c r="A177" s="209" t="str">
        <f>IFERROR(IF($A176+1&gt;'(backend scoring)'!$T$335,"",$A176+1),"")</f>
        <v/>
      </c>
      <c r="B177" s="209" t="str">
        <f>_xlfn.XLOOKUP($A177,'(backend scoring)'!$V$2:$V$333,'(backend scoring)'!$A$2:$A$333,"")</f>
        <v/>
      </c>
      <c r="C177" s="209" t="str">
        <f>IFERROR(VLOOKUP($B177,'Institution Evaluation'!$A$55:$F$345,2,0),IFERROR(VLOOKUP($B177,'Privacy Analyst Evaluation'!$A$46:$F$120,2,0),""))&amp;""</f>
        <v/>
      </c>
      <c r="D177" s="209" t="str">
        <f>IFERROR(VLOOKUP($B177,'Institution Evaluation'!$A$55:$F$345,3,0),IFERROR(VLOOKUP($B177,'Privacy Analyst Evaluation'!$A$46:$F$120,3,0),""))&amp;""</f>
        <v/>
      </c>
      <c r="E177" s="209" t="str">
        <f>IFERROR(VLOOKUP($B177,'Institution Evaluation'!$A$55:$F$345,4,0),IFERROR(VLOOKUP($B177,'Privacy Analyst Evaluation'!$A$46:$F$120,4,0),""))&amp;""</f>
        <v/>
      </c>
      <c r="F177" s="209" t="str">
        <f>IFERROR(VLOOKUP($B177,'Institution Evaluation'!$A$55:$F$345,6,0),IFERROR(VLOOKUP($B177,'Privacy Analyst Evaluation'!$A$46:$F$120,6,0),""))&amp;""</f>
        <v/>
      </c>
      <c r="G177" s="210"/>
      <c r="H177" s="209" t="str">
        <f>IFERROR(IF($H176+1&gt;'(backend scoring)'!$Q$335,"",$H176+1),"")</f>
        <v/>
      </c>
      <c r="I177" s="209" t="str">
        <f>_xlfn.XLOOKUP($H177,'(backend scoring)'!$S$2:$S$333,'(backend scoring)'!$A$2:$A$333,"")</f>
        <v/>
      </c>
      <c r="J177" s="209" t="str">
        <f>IFERROR(VLOOKUP($I177,'Institution Evaluation'!$A$55:$F$345,2,0),IFERROR(VLOOKUP($I177,'Privacy Analyst Evaluation'!$A$46:$F$120,2,0),""))</f>
        <v/>
      </c>
      <c r="K177" s="209" t="str">
        <f>IFERROR(VLOOKUP($I177,'Institution Evaluation'!$A$55:$F$345,3,0),IFERROR(VLOOKUP($I177,'Privacy Analyst Evaluation'!$A$46:$F$120,3,0),""))&amp;""</f>
        <v/>
      </c>
      <c r="L177" s="209" t="str">
        <f>IFERROR(VLOOKUP($I177,'Institution Evaluation'!$A$55:$F$345,4,0),IFERROR(VLOOKUP($I177,'Privacy Analyst Evaluation'!$A$46:$F$120,4,0),""))&amp;""</f>
        <v/>
      </c>
      <c r="M177" s="209" t="str">
        <f>IFERROR(VLOOKUP($I177,'Institution Evaluation'!$A$55:$F$345,6,0),IFERROR(VLOOKUP($I177,'Privacy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2">
      <c r="A178" s="209" t="str">
        <f>IFERROR(IF($A177+1&gt;'(backend scoring)'!$T$335,"",$A177+1),"")</f>
        <v/>
      </c>
      <c r="B178" s="209" t="str">
        <f>_xlfn.XLOOKUP($A178,'(backend scoring)'!$V$2:$V$333,'(backend scoring)'!$A$2:$A$333,"")</f>
        <v/>
      </c>
      <c r="C178" s="209" t="str">
        <f>IFERROR(VLOOKUP($B178,'Institution Evaluation'!$A$55:$F$345,2,0),IFERROR(VLOOKUP($B178,'Privacy Analyst Evaluation'!$A$46:$F$120,2,0),""))&amp;""</f>
        <v/>
      </c>
      <c r="D178" s="209" t="str">
        <f>IFERROR(VLOOKUP($B178,'Institution Evaluation'!$A$55:$F$345,3,0),IFERROR(VLOOKUP($B178,'Privacy Analyst Evaluation'!$A$46:$F$120,3,0),""))&amp;""</f>
        <v/>
      </c>
      <c r="E178" s="209" t="str">
        <f>IFERROR(VLOOKUP($B178,'Institution Evaluation'!$A$55:$F$345,4,0),IFERROR(VLOOKUP($B178,'Privacy Analyst Evaluation'!$A$46:$F$120,4,0),""))&amp;""</f>
        <v/>
      </c>
      <c r="F178" s="209" t="str">
        <f>IFERROR(VLOOKUP($B178,'Institution Evaluation'!$A$55:$F$345,6,0),IFERROR(VLOOKUP($B178,'Privacy Analyst Evaluation'!$A$46:$F$120,6,0),""))&amp;""</f>
        <v/>
      </c>
      <c r="G178" s="210"/>
      <c r="H178" s="209" t="str">
        <f>IFERROR(IF($H177+1&gt;'(backend scoring)'!$Q$335,"",$H177+1),"")</f>
        <v/>
      </c>
      <c r="I178" s="209" t="str">
        <f>_xlfn.XLOOKUP($H178,'(backend scoring)'!$S$2:$S$333,'(backend scoring)'!$A$2:$A$333,"")</f>
        <v/>
      </c>
      <c r="J178" s="209" t="str">
        <f>IFERROR(VLOOKUP($I178,'Institution Evaluation'!$A$55:$F$345,2,0),IFERROR(VLOOKUP($I178,'Privacy Analyst Evaluation'!$A$46:$F$120,2,0),""))</f>
        <v/>
      </c>
      <c r="K178" s="209" t="str">
        <f>IFERROR(VLOOKUP($I178,'Institution Evaluation'!$A$55:$F$345,3,0),IFERROR(VLOOKUP($I178,'Privacy Analyst Evaluation'!$A$46:$F$120,3,0),""))&amp;""</f>
        <v/>
      </c>
      <c r="L178" s="209" t="str">
        <f>IFERROR(VLOOKUP($I178,'Institution Evaluation'!$A$55:$F$345,4,0),IFERROR(VLOOKUP($I178,'Privacy Analyst Evaluation'!$A$46:$F$120,4,0),""))&amp;""</f>
        <v/>
      </c>
      <c r="M178" s="209" t="str">
        <f>IFERROR(VLOOKUP($I178,'Institution Evaluation'!$A$55:$F$345,6,0),IFERROR(VLOOKUP($I178,'Privacy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2">
      <c r="A179" s="209" t="str">
        <f>IFERROR(IF($A178+1&gt;'(backend scoring)'!$T$335,"",$A178+1),"")</f>
        <v/>
      </c>
      <c r="B179" s="209" t="str">
        <f>_xlfn.XLOOKUP($A179,'(backend scoring)'!$V$2:$V$333,'(backend scoring)'!$A$2:$A$333,"")</f>
        <v/>
      </c>
      <c r="C179" s="209" t="str">
        <f>IFERROR(VLOOKUP($B179,'Institution Evaluation'!$A$55:$F$345,2,0),IFERROR(VLOOKUP($B179,'Privacy Analyst Evaluation'!$A$46:$F$120,2,0),""))&amp;""</f>
        <v/>
      </c>
      <c r="D179" s="209" t="str">
        <f>IFERROR(VLOOKUP($B179,'Institution Evaluation'!$A$55:$F$345,3,0),IFERROR(VLOOKUP($B179,'Privacy Analyst Evaluation'!$A$46:$F$120,3,0),""))&amp;""</f>
        <v/>
      </c>
      <c r="E179" s="209" t="str">
        <f>IFERROR(VLOOKUP($B179,'Institution Evaluation'!$A$55:$F$345,4,0),IFERROR(VLOOKUP($B179,'Privacy Analyst Evaluation'!$A$46:$F$120,4,0),""))&amp;""</f>
        <v/>
      </c>
      <c r="F179" s="209" t="str">
        <f>IFERROR(VLOOKUP($B179,'Institution Evaluation'!$A$55:$F$345,6,0),IFERROR(VLOOKUP($B179,'Privacy Analyst Evaluation'!$A$46:$F$120,6,0),""))&amp;""</f>
        <v/>
      </c>
      <c r="G179" s="210"/>
      <c r="H179" s="209" t="str">
        <f>IFERROR(IF($H178+1&gt;'(backend scoring)'!$Q$335,"",$H178+1),"")</f>
        <v/>
      </c>
      <c r="I179" s="209" t="str">
        <f>_xlfn.XLOOKUP($H179,'(backend scoring)'!$S$2:$S$333,'(backend scoring)'!$A$2:$A$333,"")</f>
        <v/>
      </c>
      <c r="J179" s="209" t="str">
        <f>IFERROR(VLOOKUP($I179,'Institution Evaluation'!$A$55:$F$345,2,0),IFERROR(VLOOKUP($I179,'Privacy Analyst Evaluation'!$A$46:$F$120,2,0),""))</f>
        <v/>
      </c>
      <c r="K179" s="209" t="str">
        <f>IFERROR(VLOOKUP($I179,'Institution Evaluation'!$A$55:$F$345,3,0),IFERROR(VLOOKUP($I179,'Privacy Analyst Evaluation'!$A$46:$F$120,3,0),""))&amp;""</f>
        <v/>
      </c>
      <c r="L179" s="209" t="str">
        <f>IFERROR(VLOOKUP($I179,'Institution Evaluation'!$A$55:$F$345,4,0),IFERROR(VLOOKUP($I179,'Privacy Analyst Evaluation'!$A$46:$F$120,4,0),""))&amp;""</f>
        <v/>
      </c>
      <c r="M179" s="209" t="str">
        <f>IFERROR(VLOOKUP($I179,'Institution Evaluation'!$A$55:$F$345,6,0),IFERROR(VLOOKUP($I179,'Privacy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2">
      <c r="A180" s="209" t="str">
        <f>IFERROR(IF($A179+1&gt;'(backend scoring)'!$T$335,"",$A179+1),"")</f>
        <v/>
      </c>
      <c r="B180" s="209" t="str">
        <f>_xlfn.XLOOKUP($A180,'(backend scoring)'!$V$2:$V$333,'(backend scoring)'!$A$2:$A$333,"")</f>
        <v/>
      </c>
      <c r="C180" s="209" t="str">
        <f>IFERROR(VLOOKUP($B180,'Institution Evaluation'!$A$55:$F$345,2,0),IFERROR(VLOOKUP($B180,'Privacy Analyst Evaluation'!$A$46:$F$120,2,0),""))&amp;""</f>
        <v/>
      </c>
      <c r="D180" s="209" t="str">
        <f>IFERROR(VLOOKUP($B180,'Institution Evaluation'!$A$55:$F$345,3,0),IFERROR(VLOOKUP($B180,'Privacy Analyst Evaluation'!$A$46:$F$120,3,0),""))&amp;""</f>
        <v/>
      </c>
      <c r="E180" s="209" t="str">
        <f>IFERROR(VLOOKUP($B180,'Institution Evaluation'!$A$55:$F$345,4,0),IFERROR(VLOOKUP($B180,'Privacy Analyst Evaluation'!$A$46:$F$120,4,0),""))&amp;""</f>
        <v/>
      </c>
      <c r="F180" s="209" t="str">
        <f>IFERROR(VLOOKUP($B180,'Institution Evaluation'!$A$55:$F$345,6,0),IFERROR(VLOOKUP($B180,'Privacy Analyst Evaluation'!$A$46:$F$120,6,0),""))&amp;""</f>
        <v/>
      </c>
      <c r="G180" s="210"/>
      <c r="H180" s="209" t="str">
        <f>IFERROR(IF($H179+1&gt;'(backend scoring)'!$Q$335,"",$H179+1),"")</f>
        <v/>
      </c>
      <c r="I180" s="209" t="str">
        <f>_xlfn.XLOOKUP($H180,'(backend scoring)'!$S$2:$S$333,'(backend scoring)'!$A$2:$A$333,"")</f>
        <v/>
      </c>
      <c r="J180" s="209" t="str">
        <f>IFERROR(VLOOKUP($I180,'Institution Evaluation'!$A$55:$F$345,2,0),IFERROR(VLOOKUP($I180,'Privacy Analyst Evaluation'!$A$46:$F$120,2,0),""))</f>
        <v/>
      </c>
      <c r="K180" s="209" t="str">
        <f>IFERROR(VLOOKUP($I180,'Institution Evaluation'!$A$55:$F$345,3,0),IFERROR(VLOOKUP($I180,'Privacy Analyst Evaluation'!$A$46:$F$120,3,0),""))&amp;""</f>
        <v/>
      </c>
      <c r="L180" s="209" t="str">
        <f>IFERROR(VLOOKUP($I180,'Institution Evaluation'!$A$55:$F$345,4,0),IFERROR(VLOOKUP($I180,'Privacy Analyst Evaluation'!$A$46:$F$120,4,0),""))&amp;""</f>
        <v/>
      </c>
      <c r="M180" s="209" t="str">
        <f>IFERROR(VLOOKUP($I180,'Institution Evaluation'!$A$55:$F$345,6,0),IFERROR(VLOOKUP($I180,'Privacy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2">
      <c r="A181" s="209" t="str">
        <f>IFERROR(IF($A180+1&gt;'(backend scoring)'!$T$335,"",$A180+1),"")</f>
        <v/>
      </c>
      <c r="B181" s="209" t="str">
        <f>_xlfn.XLOOKUP($A181,'(backend scoring)'!$V$2:$V$333,'(backend scoring)'!$A$2:$A$333,"")</f>
        <v/>
      </c>
      <c r="C181" s="209" t="str">
        <f>IFERROR(VLOOKUP($B181,'Institution Evaluation'!$A$55:$F$345,2,0),IFERROR(VLOOKUP($B181,'Privacy Analyst Evaluation'!$A$46:$F$120,2,0),""))&amp;""</f>
        <v/>
      </c>
      <c r="D181" s="209" t="str">
        <f>IFERROR(VLOOKUP($B181,'Institution Evaluation'!$A$55:$F$345,3,0),IFERROR(VLOOKUP($B181,'Privacy Analyst Evaluation'!$A$46:$F$120,3,0),""))&amp;""</f>
        <v/>
      </c>
      <c r="E181" s="209" t="str">
        <f>IFERROR(VLOOKUP($B181,'Institution Evaluation'!$A$55:$F$345,4,0),IFERROR(VLOOKUP($B181,'Privacy Analyst Evaluation'!$A$46:$F$120,4,0),""))&amp;""</f>
        <v/>
      </c>
      <c r="F181" s="209" t="str">
        <f>IFERROR(VLOOKUP($B181,'Institution Evaluation'!$A$55:$F$345,6,0),IFERROR(VLOOKUP($B181,'Privacy Analyst Evaluation'!$A$46:$F$120,6,0),""))&amp;""</f>
        <v/>
      </c>
      <c r="G181" s="210"/>
      <c r="H181" s="209" t="str">
        <f>IFERROR(IF($H180+1&gt;'(backend scoring)'!$Q$335,"",$H180+1),"")</f>
        <v/>
      </c>
      <c r="I181" s="209" t="str">
        <f>_xlfn.XLOOKUP($H181,'(backend scoring)'!$S$2:$S$333,'(backend scoring)'!$A$2:$A$333,"")</f>
        <v/>
      </c>
      <c r="J181" s="209" t="str">
        <f>IFERROR(VLOOKUP($I181,'Institution Evaluation'!$A$55:$F$345,2,0),IFERROR(VLOOKUP($I181,'Privacy Analyst Evaluation'!$A$46:$F$120,2,0),""))</f>
        <v/>
      </c>
      <c r="K181" s="209" t="str">
        <f>IFERROR(VLOOKUP($I181,'Institution Evaluation'!$A$55:$F$345,3,0),IFERROR(VLOOKUP($I181,'Privacy Analyst Evaluation'!$A$46:$F$120,3,0),""))&amp;""</f>
        <v/>
      </c>
      <c r="L181" s="209" t="str">
        <f>IFERROR(VLOOKUP($I181,'Institution Evaluation'!$A$55:$F$345,4,0),IFERROR(VLOOKUP($I181,'Privacy Analyst Evaluation'!$A$46:$F$120,4,0),""))&amp;""</f>
        <v/>
      </c>
      <c r="M181" s="209" t="str">
        <f>IFERROR(VLOOKUP($I181,'Institution Evaluation'!$A$55:$F$345,6,0),IFERROR(VLOOKUP($I181,'Privacy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2">
      <c r="A182" s="209" t="str">
        <f>IFERROR(IF($A181+1&gt;'(backend scoring)'!$T$335,"",$A181+1),"")</f>
        <v/>
      </c>
      <c r="B182" s="209" t="str">
        <f>_xlfn.XLOOKUP($A182,'(backend scoring)'!$V$2:$V$333,'(backend scoring)'!$A$2:$A$333,"")</f>
        <v/>
      </c>
      <c r="C182" s="209" t="str">
        <f>IFERROR(VLOOKUP($B182,'Institution Evaluation'!$A$55:$F$345,2,0),IFERROR(VLOOKUP($B182,'Privacy Analyst Evaluation'!$A$46:$F$120,2,0),""))&amp;""</f>
        <v/>
      </c>
      <c r="D182" s="209" t="str">
        <f>IFERROR(VLOOKUP($B182,'Institution Evaluation'!$A$55:$F$345,3,0),IFERROR(VLOOKUP($B182,'Privacy Analyst Evaluation'!$A$46:$F$120,3,0),""))&amp;""</f>
        <v/>
      </c>
      <c r="E182" s="209" t="str">
        <f>IFERROR(VLOOKUP($B182,'Institution Evaluation'!$A$55:$F$345,4,0),IFERROR(VLOOKUP($B182,'Privacy Analyst Evaluation'!$A$46:$F$120,4,0),""))&amp;""</f>
        <v/>
      </c>
      <c r="F182" s="209" t="str">
        <f>IFERROR(VLOOKUP($B182,'Institution Evaluation'!$A$55:$F$345,6,0),IFERROR(VLOOKUP($B182,'Privacy Analyst Evaluation'!$A$46:$F$120,6,0),""))&amp;""</f>
        <v/>
      </c>
      <c r="G182" s="210"/>
      <c r="H182" s="209" t="str">
        <f>IFERROR(IF($H181+1&gt;'(backend scoring)'!$Q$335,"",$H181+1),"")</f>
        <v/>
      </c>
      <c r="I182" s="209" t="str">
        <f>_xlfn.XLOOKUP($H182,'(backend scoring)'!$S$2:$S$333,'(backend scoring)'!$A$2:$A$333,"")</f>
        <v/>
      </c>
      <c r="J182" s="209" t="str">
        <f>IFERROR(VLOOKUP($I182,'Institution Evaluation'!$A$55:$F$345,2,0),IFERROR(VLOOKUP($I182,'Privacy Analyst Evaluation'!$A$46:$F$120,2,0),""))</f>
        <v/>
      </c>
      <c r="K182" s="209" t="str">
        <f>IFERROR(VLOOKUP($I182,'Institution Evaluation'!$A$55:$F$345,3,0),IFERROR(VLOOKUP($I182,'Privacy Analyst Evaluation'!$A$46:$F$120,3,0),""))&amp;""</f>
        <v/>
      </c>
      <c r="L182" s="209" t="str">
        <f>IFERROR(VLOOKUP($I182,'Institution Evaluation'!$A$55:$F$345,4,0),IFERROR(VLOOKUP($I182,'Privacy Analyst Evaluation'!$A$46:$F$120,4,0),""))&amp;""</f>
        <v/>
      </c>
      <c r="M182" s="209" t="str">
        <f>IFERROR(VLOOKUP($I182,'Institution Evaluation'!$A$55:$F$345,6,0),IFERROR(VLOOKUP($I182,'Privacy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2">
      <c r="A183" s="209" t="str">
        <f>IFERROR(IF($A182+1&gt;'(backend scoring)'!$T$335,"",$A182+1),"")</f>
        <v/>
      </c>
      <c r="B183" s="209" t="str">
        <f>_xlfn.XLOOKUP($A183,'(backend scoring)'!$V$2:$V$333,'(backend scoring)'!$A$2:$A$333,"")</f>
        <v/>
      </c>
      <c r="C183" s="209" t="str">
        <f>IFERROR(VLOOKUP($B183,'Institution Evaluation'!$A$55:$F$345,2,0),IFERROR(VLOOKUP($B183,'Privacy Analyst Evaluation'!$A$46:$F$120,2,0),""))&amp;""</f>
        <v/>
      </c>
      <c r="D183" s="209" t="str">
        <f>IFERROR(VLOOKUP($B183,'Institution Evaluation'!$A$55:$F$345,3,0),IFERROR(VLOOKUP($B183,'Privacy Analyst Evaluation'!$A$46:$F$120,3,0),""))&amp;""</f>
        <v/>
      </c>
      <c r="E183" s="209" t="str">
        <f>IFERROR(VLOOKUP($B183,'Institution Evaluation'!$A$55:$F$345,4,0),IFERROR(VLOOKUP($B183,'Privacy Analyst Evaluation'!$A$46:$F$120,4,0),""))&amp;""</f>
        <v/>
      </c>
      <c r="F183" s="209" t="str">
        <f>IFERROR(VLOOKUP($B183,'Institution Evaluation'!$A$55:$F$345,6,0),IFERROR(VLOOKUP($B183,'Privacy Analyst Evaluation'!$A$46:$F$120,6,0),""))&amp;""</f>
        <v/>
      </c>
      <c r="G183" s="210"/>
      <c r="H183" s="209" t="str">
        <f>IFERROR(IF($H182+1&gt;'(backend scoring)'!$Q$335,"",$H182+1),"")</f>
        <v/>
      </c>
      <c r="I183" s="209" t="str">
        <f>_xlfn.XLOOKUP($H183,'(backend scoring)'!$S$2:$S$333,'(backend scoring)'!$A$2:$A$333,"")</f>
        <v/>
      </c>
      <c r="J183" s="209" t="str">
        <f>IFERROR(VLOOKUP($I183,'Institution Evaluation'!$A$55:$F$345,2,0),IFERROR(VLOOKUP($I183,'Privacy Analyst Evaluation'!$A$46:$F$120,2,0),""))</f>
        <v/>
      </c>
      <c r="K183" s="209" t="str">
        <f>IFERROR(VLOOKUP($I183,'Institution Evaluation'!$A$55:$F$345,3,0),IFERROR(VLOOKUP($I183,'Privacy Analyst Evaluation'!$A$46:$F$120,3,0),""))&amp;""</f>
        <v/>
      </c>
      <c r="L183" s="209" t="str">
        <f>IFERROR(VLOOKUP($I183,'Institution Evaluation'!$A$55:$F$345,4,0),IFERROR(VLOOKUP($I183,'Privacy Analyst Evaluation'!$A$46:$F$120,4,0),""))&amp;""</f>
        <v/>
      </c>
      <c r="M183" s="209" t="str">
        <f>IFERROR(VLOOKUP($I183,'Institution Evaluation'!$A$55:$F$345,6,0),IFERROR(VLOOKUP($I183,'Privacy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2">
      <c r="A184" s="209" t="str">
        <f>IFERROR(IF($A183+1&gt;'(backend scoring)'!$T$335,"",$A183+1),"")</f>
        <v/>
      </c>
      <c r="B184" s="209" t="str">
        <f>_xlfn.XLOOKUP($A184,'(backend scoring)'!$V$2:$V$333,'(backend scoring)'!$A$2:$A$333,"")</f>
        <v/>
      </c>
      <c r="C184" s="209" t="str">
        <f>IFERROR(VLOOKUP($B184,'Institution Evaluation'!$A$55:$F$345,2,0),IFERROR(VLOOKUP($B184,'Privacy Analyst Evaluation'!$A$46:$F$120,2,0),""))&amp;""</f>
        <v/>
      </c>
      <c r="D184" s="209" t="str">
        <f>IFERROR(VLOOKUP($B184,'Institution Evaluation'!$A$55:$F$345,3,0),IFERROR(VLOOKUP($B184,'Privacy Analyst Evaluation'!$A$46:$F$120,3,0),""))&amp;""</f>
        <v/>
      </c>
      <c r="E184" s="209" t="str">
        <f>IFERROR(VLOOKUP($B184,'Institution Evaluation'!$A$55:$F$345,4,0),IFERROR(VLOOKUP($B184,'Privacy Analyst Evaluation'!$A$46:$F$120,4,0),""))&amp;""</f>
        <v/>
      </c>
      <c r="F184" s="209" t="str">
        <f>IFERROR(VLOOKUP($B184,'Institution Evaluation'!$A$55:$F$345,6,0),IFERROR(VLOOKUP($B184,'Privacy Analyst Evaluation'!$A$46:$F$120,6,0),""))&amp;""</f>
        <v/>
      </c>
      <c r="G184" s="210"/>
      <c r="H184" s="209" t="str">
        <f>IFERROR(IF($H183+1&gt;'(backend scoring)'!$Q$335,"",$H183+1),"")</f>
        <v/>
      </c>
      <c r="I184" s="209" t="str">
        <f>_xlfn.XLOOKUP($H184,'(backend scoring)'!$S$2:$S$333,'(backend scoring)'!$A$2:$A$333,"")</f>
        <v/>
      </c>
      <c r="J184" s="209" t="str">
        <f>IFERROR(VLOOKUP($I184,'Institution Evaluation'!$A$55:$F$345,2,0),IFERROR(VLOOKUP($I184,'Privacy Analyst Evaluation'!$A$46:$F$120,2,0),""))</f>
        <v/>
      </c>
      <c r="K184" s="209" t="str">
        <f>IFERROR(VLOOKUP($I184,'Institution Evaluation'!$A$55:$F$345,3,0),IFERROR(VLOOKUP($I184,'Privacy Analyst Evaluation'!$A$46:$F$120,3,0),""))&amp;""</f>
        <v/>
      </c>
      <c r="L184" s="209" t="str">
        <f>IFERROR(VLOOKUP($I184,'Institution Evaluation'!$A$55:$F$345,4,0),IFERROR(VLOOKUP($I184,'Privacy Analyst Evaluation'!$A$46:$F$120,4,0),""))&amp;""</f>
        <v/>
      </c>
      <c r="M184" s="209" t="str">
        <f>IFERROR(VLOOKUP($I184,'Institution Evaluation'!$A$55:$F$345,6,0),IFERROR(VLOOKUP($I184,'Privacy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2">
      <c r="A185" s="209" t="str">
        <f>IFERROR(IF($A184+1&gt;'(backend scoring)'!$T$335,"",$A184+1),"")</f>
        <v/>
      </c>
      <c r="B185" s="209" t="str">
        <f>_xlfn.XLOOKUP($A185,'(backend scoring)'!$V$2:$V$333,'(backend scoring)'!$A$2:$A$333,"")</f>
        <v/>
      </c>
      <c r="C185" s="209" t="str">
        <f>IFERROR(VLOOKUP($B185,'Institution Evaluation'!$A$55:$F$345,2,0),IFERROR(VLOOKUP($B185,'Privacy Analyst Evaluation'!$A$46:$F$120,2,0),""))&amp;""</f>
        <v/>
      </c>
      <c r="D185" s="209" t="str">
        <f>IFERROR(VLOOKUP($B185,'Institution Evaluation'!$A$55:$F$345,3,0),IFERROR(VLOOKUP($B185,'Privacy Analyst Evaluation'!$A$46:$F$120,3,0),""))&amp;""</f>
        <v/>
      </c>
      <c r="E185" s="209" t="str">
        <f>IFERROR(VLOOKUP($B185,'Institution Evaluation'!$A$55:$F$345,4,0),IFERROR(VLOOKUP($B185,'Privacy Analyst Evaluation'!$A$46:$F$120,4,0),""))&amp;""</f>
        <v/>
      </c>
      <c r="F185" s="209" t="str">
        <f>IFERROR(VLOOKUP($B185,'Institution Evaluation'!$A$55:$F$345,6,0),IFERROR(VLOOKUP($B185,'Privacy Analyst Evaluation'!$A$46:$F$120,6,0),""))&amp;""</f>
        <v/>
      </c>
      <c r="G185" s="210"/>
      <c r="H185" s="209" t="str">
        <f>IFERROR(IF($H184+1&gt;'(backend scoring)'!$Q$335,"",$H184+1),"")</f>
        <v/>
      </c>
      <c r="I185" s="209" t="str">
        <f>_xlfn.XLOOKUP($H185,'(backend scoring)'!$S$2:$S$333,'(backend scoring)'!$A$2:$A$333,"")</f>
        <v/>
      </c>
      <c r="J185" s="209" t="str">
        <f>IFERROR(VLOOKUP($I185,'Institution Evaluation'!$A$55:$F$345,2,0),IFERROR(VLOOKUP($I185,'Privacy Analyst Evaluation'!$A$46:$F$120,2,0),""))</f>
        <v/>
      </c>
      <c r="K185" s="209" t="str">
        <f>IFERROR(VLOOKUP($I185,'Institution Evaluation'!$A$55:$F$345,3,0),IFERROR(VLOOKUP($I185,'Privacy Analyst Evaluation'!$A$46:$F$120,3,0),""))&amp;""</f>
        <v/>
      </c>
      <c r="L185" s="209" t="str">
        <f>IFERROR(VLOOKUP($I185,'Institution Evaluation'!$A$55:$F$345,4,0),IFERROR(VLOOKUP($I185,'Privacy Analyst Evaluation'!$A$46:$F$120,4,0),""))&amp;""</f>
        <v/>
      </c>
      <c r="M185" s="209" t="str">
        <f>IFERROR(VLOOKUP($I185,'Institution Evaluation'!$A$55:$F$345,6,0),IFERROR(VLOOKUP($I185,'Privacy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2">
      <c r="A186" s="209" t="str">
        <f>IFERROR(IF($A185+1&gt;'(backend scoring)'!$T$335,"",$A185+1),"")</f>
        <v/>
      </c>
      <c r="B186" s="209" t="str">
        <f>_xlfn.XLOOKUP($A186,'(backend scoring)'!$V$2:$V$333,'(backend scoring)'!$A$2:$A$333,"")</f>
        <v/>
      </c>
      <c r="C186" s="209" t="str">
        <f>IFERROR(VLOOKUP($B186,'Institution Evaluation'!$A$55:$F$345,2,0),IFERROR(VLOOKUP($B186,'Privacy Analyst Evaluation'!$A$46:$F$120,2,0),""))&amp;""</f>
        <v/>
      </c>
      <c r="D186" s="209" t="str">
        <f>IFERROR(VLOOKUP($B186,'Institution Evaluation'!$A$55:$F$345,3,0),IFERROR(VLOOKUP($B186,'Privacy Analyst Evaluation'!$A$46:$F$120,3,0),""))&amp;""</f>
        <v/>
      </c>
      <c r="E186" s="209" t="str">
        <f>IFERROR(VLOOKUP($B186,'Institution Evaluation'!$A$55:$F$345,4,0),IFERROR(VLOOKUP($B186,'Privacy Analyst Evaluation'!$A$46:$F$120,4,0),""))&amp;""</f>
        <v/>
      </c>
      <c r="F186" s="209" t="str">
        <f>IFERROR(VLOOKUP($B186,'Institution Evaluation'!$A$55:$F$345,6,0),IFERROR(VLOOKUP($B186,'Privacy Analyst Evaluation'!$A$46:$F$120,6,0),""))&amp;""</f>
        <v/>
      </c>
      <c r="G186" s="210"/>
      <c r="H186" s="209" t="str">
        <f>IFERROR(IF($H185+1&gt;'(backend scoring)'!$Q$335,"",$H185+1),"")</f>
        <v/>
      </c>
      <c r="I186" s="209" t="str">
        <f>_xlfn.XLOOKUP($H186,'(backend scoring)'!$S$2:$S$333,'(backend scoring)'!$A$2:$A$333,"")</f>
        <v/>
      </c>
      <c r="J186" s="209" t="str">
        <f>IFERROR(VLOOKUP($I186,'Institution Evaluation'!$A$55:$F$345,2,0),IFERROR(VLOOKUP($I186,'Privacy Analyst Evaluation'!$A$46:$F$120,2,0),""))</f>
        <v/>
      </c>
      <c r="K186" s="209" t="str">
        <f>IFERROR(VLOOKUP($I186,'Institution Evaluation'!$A$55:$F$345,3,0),IFERROR(VLOOKUP($I186,'Privacy Analyst Evaluation'!$A$46:$F$120,3,0),""))&amp;""</f>
        <v/>
      </c>
      <c r="L186" s="209" t="str">
        <f>IFERROR(VLOOKUP($I186,'Institution Evaluation'!$A$55:$F$345,4,0),IFERROR(VLOOKUP($I186,'Privacy Analyst Evaluation'!$A$46:$F$120,4,0),""))&amp;""</f>
        <v/>
      </c>
      <c r="M186" s="209" t="str">
        <f>IFERROR(VLOOKUP($I186,'Institution Evaluation'!$A$55:$F$345,6,0),IFERROR(VLOOKUP($I186,'Privacy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2">
      <c r="A187" s="209" t="str">
        <f>IFERROR(IF($A186+1&gt;'(backend scoring)'!$T$335,"",$A186+1),"")</f>
        <v/>
      </c>
      <c r="B187" s="209" t="str">
        <f>_xlfn.XLOOKUP($A187,'(backend scoring)'!$V$2:$V$333,'(backend scoring)'!$A$2:$A$333,"")</f>
        <v/>
      </c>
      <c r="C187" s="209" t="str">
        <f>IFERROR(VLOOKUP($B187,'Institution Evaluation'!$A$55:$F$345,2,0),IFERROR(VLOOKUP($B187,'Privacy Analyst Evaluation'!$A$46:$F$120,2,0),""))&amp;""</f>
        <v/>
      </c>
      <c r="D187" s="209" t="str">
        <f>IFERROR(VLOOKUP($B187,'Institution Evaluation'!$A$55:$F$345,3,0),IFERROR(VLOOKUP($B187,'Privacy Analyst Evaluation'!$A$46:$F$120,3,0),""))&amp;""</f>
        <v/>
      </c>
      <c r="E187" s="209" t="str">
        <f>IFERROR(VLOOKUP($B187,'Institution Evaluation'!$A$55:$F$345,4,0),IFERROR(VLOOKUP($B187,'Privacy Analyst Evaluation'!$A$46:$F$120,4,0),""))&amp;""</f>
        <v/>
      </c>
      <c r="F187" s="209" t="str">
        <f>IFERROR(VLOOKUP($B187,'Institution Evaluation'!$A$55:$F$345,6,0),IFERROR(VLOOKUP($B187,'Privacy Analyst Evaluation'!$A$46:$F$120,6,0),""))&amp;""</f>
        <v/>
      </c>
      <c r="G187" s="210"/>
      <c r="H187" s="209" t="str">
        <f>IFERROR(IF($H186+1&gt;'(backend scoring)'!$Q$335,"",$H186+1),"")</f>
        <v/>
      </c>
      <c r="I187" s="209" t="str">
        <f>_xlfn.XLOOKUP($H187,'(backend scoring)'!$S$2:$S$333,'(backend scoring)'!$A$2:$A$333,"")</f>
        <v/>
      </c>
      <c r="J187" s="209" t="str">
        <f>IFERROR(VLOOKUP($I187,'Institution Evaluation'!$A$55:$F$345,2,0),IFERROR(VLOOKUP($I187,'Privacy Analyst Evaluation'!$A$46:$F$120,2,0),""))</f>
        <v/>
      </c>
      <c r="K187" s="209" t="str">
        <f>IFERROR(VLOOKUP($I187,'Institution Evaluation'!$A$55:$F$345,3,0),IFERROR(VLOOKUP($I187,'Privacy Analyst Evaluation'!$A$46:$F$120,3,0),""))&amp;""</f>
        <v/>
      </c>
      <c r="L187" s="209" t="str">
        <f>IFERROR(VLOOKUP($I187,'Institution Evaluation'!$A$55:$F$345,4,0),IFERROR(VLOOKUP($I187,'Privacy Analyst Evaluation'!$A$46:$F$120,4,0),""))&amp;""</f>
        <v/>
      </c>
      <c r="M187" s="209" t="str">
        <f>IFERROR(VLOOKUP($I187,'Institution Evaluation'!$A$55:$F$345,6,0),IFERROR(VLOOKUP($I187,'Privacy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2">
      <c r="A188" s="209" t="str">
        <f>IFERROR(IF($A187+1&gt;'(backend scoring)'!$T$335,"",$A187+1),"")</f>
        <v/>
      </c>
      <c r="B188" s="209" t="str">
        <f>_xlfn.XLOOKUP($A188,'(backend scoring)'!$V$2:$V$333,'(backend scoring)'!$A$2:$A$333,"")</f>
        <v/>
      </c>
      <c r="C188" s="209" t="str">
        <f>IFERROR(VLOOKUP($B188,'Institution Evaluation'!$A$55:$F$345,2,0),IFERROR(VLOOKUP($B188,'Privacy Analyst Evaluation'!$A$46:$F$120,2,0),""))&amp;""</f>
        <v/>
      </c>
      <c r="D188" s="209" t="str">
        <f>IFERROR(VLOOKUP($B188,'Institution Evaluation'!$A$55:$F$345,3,0),IFERROR(VLOOKUP($B188,'Privacy Analyst Evaluation'!$A$46:$F$120,3,0),""))&amp;""</f>
        <v/>
      </c>
      <c r="E188" s="209" t="str">
        <f>IFERROR(VLOOKUP($B188,'Institution Evaluation'!$A$55:$F$345,4,0),IFERROR(VLOOKUP($B188,'Privacy Analyst Evaluation'!$A$46:$F$120,4,0),""))&amp;""</f>
        <v/>
      </c>
      <c r="F188" s="209" t="str">
        <f>IFERROR(VLOOKUP($B188,'Institution Evaluation'!$A$55:$F$345,6,0),IFERROR(VLOOKUP($B188,'Privacy Analyst Evaluation'!$A$46:$F$120,6,0),""))&amp;""</f>
        <v/>
      </c>
      <c r="G188" s="210"/>
      <c r="H188" s="209" t="str">
        <f>IFERROR(IF($H187+1&gt;'(backend scoring)'!$Q$335,"",$H187+1),"")</f>
        <v/>
      </c>
      <c r="I188" s="209" t="str">
        <f>_xlfn.XLOOKUP($H188,'(backend scoring)'!$S$2:$S$333,'(backend scoring)'!$A$2:$A$333,"")</f>
        <v/>
      </c>
      <c r="J188" s="209" t="str">
        <f>IFERROR(VLOOKUP($I188,'Institution Evaluation'!$A$55:$F$345,2,0),IFERROR(VLOOKUP($I188,'Privacy Analyst Evaluation'!$A$46:$F$120,2,0),""))</f>
        <v/>
      </c>
      <c r="K188" s="209" t="str">
        <f>IFERROR(VLOOKUP($I188,'Institution Evaluation'!$A$55:$F$345,3,0),IFERROR(VLOOKUP($I188,'Privacy Analyst Evaluation'!$A$46:$F$120,3,0),""))&amp;""</f>
        <v/>
      </c>
      <c r="L188" s="209" t="str">
        <f>IFERROR(VLOOKUP($I188,'Institution Evaluation'!$A$55:$F$345,4,0),IFERROR(VLOOKUP($I188,'Privacy Analyst Evaluation'!$A$46:$F$120,4,0),""))&amp;""</f>
        <v/>
      </c>
      <c r="M188" s="209" t="str">
        <f>IFERROR(VLOOKUP($I188,'Institution Evaluation'!$A$55:$F$345,6,0),IFERROR(VLOOKUP($I188,'Privacy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2">
      <c r="A189" s="209" t="str">
        <f>IFERROR(IF($A188+1&gt;'(backend scoring)'!$T$335,"",$A188+1),"")</f>
        <v/>
      </c>
      <c r="B189" s="209" t="str">
        <f>_xlfn.XLOOKUP($A189,'(backend scoring)'!$V$2:$V$333,'(backend scoring)'!$A$2:$A$333,"")</f>
        <v/>
      </c>
      <c r="C189" s="209" t="str">
        <f>IFERROR(VLOOKUP($B189,'Institution Evaluation'!$A$55:$F$345,2,0),IFERROR(VLOOKUP($B189,'Privacy Analyst Evaluation'!$A$46:$F$120,2,0),""))&amp;""</f>
        <v/>
      </c>
      <c r="D189" s="209" t="str">
        <f>IFERROR(VLOOKUP($B189,'Institution Evaluation'!$A$55:$F$345,3,0),IFERROR(VLOOKUP($B189,'Privacy Analyst Evaluation'!$A$46:$F$120,3,0),""))&amp;""</f>
        <v/>
      </c>
      <c r="E189" s="209" t="str">
        <f>IFERROR(VLOOKUP($B189,'Institution Evaluation'!$A$55:$F$345,4,0),IFERROR(VLOOKUP($B189,'Privacy Analyst Evaluation'!$A$46:$F$120,4,0),""))&amp;""</f>
        <v/>
      </c>
      <c r="F189" s="209" t="str">
        <f>IFERROR(VLOOKUP($B189,'Institution Evaluation'!$A$55:$F$345,6,0),IFERROR(VLOOKUP($B189,'Privacy Analyst Evaluation'!$A$46:$F$120,6,0),""))&amp;""</f>
        <v/>
      </c>
      <c r="G189" s="210"/>
      <c r="H189" s="209" t="str">
        <f>IFERROR(IF($H188+1&gt;'(backend scoring)'!$Q$335,"",$H188+1),"")</f>
        <v/>
      </c>
      <c r="I189" s="209" t="str">
        <f>_xlfn.XLOOKUP($H189,'(backend scoring)'!$S$2:$S$333,'(backend scoring)'!$A$2:$A$333,"")</f>
        <v/>
      </c>
      <c r="J189" s="209" t="str">
        <f>IFERROR(VLOOKUP($I189,'Institution Evaluation'!$A$55:$F$345,2,0),IFERROR(VLOOKUP($I189,'Privacy Analyst Evaluation'!$A$46:$F$120,2,0),""))</f>
        <v/>
      </c>
      <c r="K189" s="209" t="str">
        <f>IFERROR(VLOOKUP($I189,'Institution Evaluation'!$A$55:$F$345,3,0),IFERROR(VLOOKUP($I189,'Privacy Analyst Evaluation'!$A$46:$F$120,3,0),""))&amp;""</f>
        <v/>
      </c>
      <c r="L189" s="209" t="str">
        <f>IFERROR(VLOOKUP($I189,'Institution Evaluation'!$A$55:$F$345,4,0),IFERROR(VLOOKUP($I189,'Privacy Analyst Evaluation'!$A$46:$F$120,4,0),""))&amp;""</f>
        <v/>
      </c>
      <c r="M189" s="209" t="str">
        <f>IFERROR(VLOOKUP($I189,'Institution Evaluation'!$A$55:$F$345,6,0),IFERROR(VLOOKUP($I189,'Privacy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2">
      <c r="A190" s="209" t="str">
        <f>IFERROR(IF($A189+1&gt;'(backend scoring)'!$T$335,"",$A189+1),"")</f>
        <v/>
      </c>
      <c r="B190" s="209" t="str">
        <f>_xlfn.XLOOKUP($A190,'(backend scoring)'!$V$2:$V$333,'(backend scoring)'!$A$2:$A$333,"")</f>
        <v/>
      </c>
      <c r="C190" s="209" t="str">
        <f>IFERROR(VLOOKUP($B190,'Institution Evaluation'!$A$55:$F$345,2,0),IFERROR(VLOOKUP($B190,'Privacy Analyst Evaluation'!$A$46:$F$120,2,0),""))&amp;""</f>
        <v/>
      </c>
      <c r="D190" s="209" t="str">
        <f>IFERROR(VLOOKUP($B190,'Institution Evaluation'!$A$55:$F$345,3,0),IFERROR(VLOOKUP($B190,'Privacy Analyst Evaluation'!$A$46:$F$120,3,0),""))&amp;""</f>
        <v/>
      </c>
      <c r="E190" s="209" t="str">
        <f>IFERROR(VLOOKUP($B190,'Institution Evaluation'!$A$55:$F$345,4,0),IFERROR(VLOOKUP($B190,'Privacy Analyst Evaluation'!$A$46:$F$120,4,0),""))&amp;""</f>
        <v/>
      </c>
      <c r="F190" s="209" t="str">
        <f>IFERROR(VLOOKUP($B190,'Institution Evaluation'!$A$55:$F$345,6,0),IFERROR(VLOOKUP($B190,'Privacy Analyst Evaluation'!$A$46:$F$120,6,0),""))&amp;""</f>
        <v/>
      </c>
      <c r="G190" s="210"/>
      <c r="H190" s="209" t="str">
        <f>IFERROR(IF($H189+1&gt;'(backend scoring)'!$Q$335,"",$H189+1),"")</f>
        <v/>
      </c>
      <c r="I190" s="209" t="str">
        <f>_xlfn.XLOOKUP($H190,'(backend scoring)'!$S$2:$S$333,'(backend scoring)'!$A$2:$A$333,"")</f>
        <v/>
      </c>
      <c r="J190" s="209" t="str">
        <f>IFERROR(VLOOKUP($I190,'Institution Evaluation'!$A$55:$F$345,2,0),IFERROR(VLOOKUP($I190,'Privacy Analyst Evaluation'!$A$46:$F$120,2,0),""))</f>
        <v/>
      </c>
      <c r="K190" s="209" t="str">
        <f>IFERROR(VLOOKUP($I190,'Institution Evaluation'!$A$55:$F$345,3,0),IFERROR(VLOOKUP($I190,'Privacy Analyst Evaluation'!$A$46:$F$120,3,0),""))&amp;""</f>
        <v/>
      </c>
      <c r="L190" s="209" t="str">
        <f>IFERROR(VLOOKUP($I190,'Institution Evaluation'!$A$55:$F$345,4,0),IFERROR(VLOOKUP($I190,'Privacy Analyst Evaluation'!$A$46:$F$120,4,0),""))&amp;""</f>
        <v/>
      </c>
      <c r="M190" s="209" t="str">
        <f>IFERROR(VLOOKUP($I190,'Institution Evaluation'!$A$55:$F$345,6,0),IFERROR(VLOOKUP($I190,'Privacy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2">
      <c r="A191" s="209" t="str">
        <f>IFERROR(IF($A190+1&gt;'(backend scoring)'!$T$335,"",$A190+1),"")</f>
        <v/>
      </c>
      <c r="B191" s="209" t="str">
        <f>_xlfn.XLOOKUP($A191,'(backend scoring)'!$V$2:$V$333,'(backend scoring)'!$A$2:$A$333,"")</f>
        <v/>
      </c>
      <c r="C191" s="209" t="str">
        <f>IFERROR(VLOOKUP($B191,'Institution Evaluation'!$A$55:$F$345,2,0),IFERROR(VLOOKUP($B191,'Privacy Analyst Evaluation'!$A$46:$F$120,2,0),""))&amp;""</f>
        <v/>
      </c>
      <c r="D191" s="209" t="str">
        <f>IFERROR(VLOOKUP($B191,'Institution Evaluation'!$A$55:$F$345,3,0),IFERROR(VLOOKUP($B191,'Privacy Analyst Evaluation'!$A$46:$F$120,3,0),""))&amp;""</f>
        <v/>
      </c>
      <c r="E191" s="209" t="str">
        <f>IFERROR(VLOOKUP($B191,'Institution Evaluation'!$A$55:$F$345,4,0),IFERROR(VLOOKUP($B191,'Privacy Analyst Evaluation'!$A$46:$F$120,4,0),""))&amp;""</f>
        <v/>
      </c>
      <c r="F191" s="209" t="str">
        <f>IFERROR(VLOOKUP($B191,'Institution Evaluation'!$A$55:$F$345,6,0),IFERROR(VLOOKUP($B191,'Privacy Analyst Evaluation'!$A$46:$F$120,6,0),""))&amp;""</f>
        <v/>
      </c>
      <c r="G191" s="210"/>
      <c r="H191" s="209" t="str">
        <f>IFERROR(IF($H190+1&gt;'(backend scoring)'!$Q$335,"",$H190+1),"")</f>
        <v/>
      </c>
      <c r="I191" s="209" t="str">
        <f>_xlfn.XLOOKUP($H191,'(backend scoring)'!$S$2:$S$333,'(backend scoring)'!$A$2:$A$333,"")</f>
        <v/>
      </c>
      <c r="J191" s="209" t="str">
        <f>IFERROR(VLOOKUP($I191,'Institution Evaluation'!$A$55:$F$345,2,0),IFERROR(VLOOKUP($I191,'Privacy Analyst Evaluation'!$A$46:$F$120,2,0),""))</f>
        <v/>
      </c>
      <c r="K191" s="209" t="str">
        <f>IFERROR(VLOOKUP($I191,'Institution Evaluation'!$A$55:$F$345,3,0),IFERROR(VLOOKUP($I191,'Privacy Analyst Evaluation'!$A$46:$F$120,3,0),""))&amp;""</f>
        <v/>
      </c>
      <c r="L191" s="209" t="str">
        <f>IFERROR(VLOOKUP($I191,'Institution Evaluation'!$A$55:$F$345,4,0),IFERROR(VLOOKUP($I191,'Privacy Analyst Evaluation'!$A$46:$F$120,4,0),""))&amp;""</f>
        <v/>
      </c>
      <c r="M191" s="209" t="str">
        <f>IFERROR(VLOOKUP($I191,'Institution Evaluation'!$A$55:$F$345,6,0),IFERROR(VLOOKUP($I191,'Privacy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2">
      <c r="A192" s="209" t="str">
        <f>IFERROR(IF($A191+1&gt;'(backend scoring)'!$T$335,"",$A191+1),"")</f>
        <v/>
      </c>
      <c r="B192" s="209" t="str">
        <f>_xlfn.XLOOKUP($A192,'(backend scoring)'!$V$2:$V$333,'(backend scoring)'!$A$2:$A$333,"")</f>
        <v/>
      </c>
      <c r="C192" s="209" t="str">
        <f>IFERROR(VLOOKUP($B192,'Institution Evaluation'!$A$55:$F$345,2,0),IFERROR(VLOOKUP($B192,'Privacy Analyst Evaluation'!$A$46:$F$120,2,0),""))&amp;""</f>
        <v/>
      </c>
      <c r="D192" s="209" t="str">
        <f>IFERROR(VLOOKUP($B192,'Institution Evaluation'!$A$55:$F$345,3,0),IFERROR(VLOOKUP($B192,'Privacy Analyst Evaluation'!$A$46:$F$120,3,0),""))&amp;""</f>
        <v/>
      </c>
      <c r="E192" s="209" t="str">
        <f>IFERROR(VLOOKUP($B192,'Institution Evaluation'!$A$55:$F$345,4,0),IFERROR(VLOOKUP($B192,'Privacy Analyst Evaluation'!$A$46:$F$120,4,0),""))&amp;""</f>
        <v/>
      </c>
      <c r="F192" s="209" t="str">
        <f>IFERROR(VLOOKUP($B192,'Institution Evaluation'!$A$55:$F$345,6,0),IFERROR(VLOOKUP($B192,'Privacy Analyst Evaluation'!$A$46:$F$120,6,0),""))&amp;""</f>
        <v/>
      </c>
      <c r="G192" s="210"/>
      <c r="H192" s="209" t="str">
        <f>IFERROR(IF($H191+1&gt;'(backend scoring)'!$Q$335,"",$H191+1),"")</f>
        <v/>
      </c>
      <c r="I192" s="209" t="str">
        <f>_xlfn.XLOOKUP($H192,'(backend scoring)'!$S$2:$S$333,'(backend scoring)'!$A$2:$A$333,"")</f>
        <v/>
      </c>
      <c r="J192" s="209" t="str">
        <f>IFERROR(VLOOKUP($I192,'Institution Evaluation'!$A$55:$F$345,2,0),IFERROR(VLOOKUP($I192,'Privacy Analyst Evaluation'!$A$46:$F$120,2,0),""))</f>
        <v/>
      </c>
      <c r="K192" s="209" t="str">
        <f>IFERROR(VLOOKUP($I192,'Institution Evaluation'!$A$55:$F$345,3,0),IFERROR(VLOOKUP($I192,'Privacy Analyst Evaluation'!$A$46:$F$120,3,0),""))&amp;""</f>
        <v/>
      </c>
      <c r="L192" s="209" t="str">
        <f>IFERROR(VLOOKUP($I192,'Institution Evaluation'!$A$55:$F$345,4,0),IFERROR(VLOOKUP($I192,'Privacy Analyst Evaluation'!$A$46:$F$120,4,0),""))&amp;""</f>
        <v/>
      </c>
      <c r="M192" s="209" t="str">
        <f>IFERROR(VLOOKUP($I192,'Institution Evaluation'!$A$55:$F$345,6,0),IFERROR(VLOOKUP($I192,'Privacy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2">
      <c r="A193" s="209" t="str">
        <f>IFERROR(IF($A192+1&gt;'(backend scoring)'!$T$335,"",$A192+1),"")</f>
        <v/>
      </c>
      <c r="B193" s="209" t="str">
        <f>_xlfn.XLOOKUP($A193,'(backend scoring)'!$V$2:$V$333,'(backend scoring)'!$A$2:$A$333,"")</f>
        <v/>
      </c>
      <c r="C193" s="209" t="str">
        <f>IFERROR(VLOOKUP($B193,'Institution Evaluation'!$A$55:$F$345,2,0),IFERROR(VLOOKUP($B193,'Privacy Analyst Evaluation'!$A$46:$F$120,2,0),""))&amp;""</f>
        <v/>
      </c>
      <c r="D193" s="209" t="str">
        <f>IFERROR(VLOOKUP($B193,'Institution Evaluation'!$A$55:$F$345,3,0),IFERROR(VLOOKUP($B193,'Privacy Analyst Evaluation'!$A$46:$F$120,3,0),""))&amp;""</f>
        <v/>
      </c>
      <c r="E193" s="209" t="str">
        <f>IFERROR(VLOOKUP($B193,'Institution Evaluation'!$A$55:$F$345,4,0),IFERROR(VLOOKUP($B193,'Privacy Analyst Evaluation'!$A$46:$F$120,4,0),""))&amp;""</f>
        <v/>
      </c>
      <c r="F193" s="209" t="str">
        <f>IFERROR(VLOOKUP($B193,'Institution Evaluation'!$A$55:$F$345,6,0),IFERROR(VLOOKUP($B193,'Privacy Analyst Evaluation'!$A$46:$F$120,6,0),""))&amp;""</f>
        <v/>
      </c>
      <c r="G193" s="210"/>
      <c r="H193" s="209" t="str">
        <f>IFERROR(IF($H192+1&gt;'(backend scoring)'!$Q$335,"",$H192+1),"")</f>
        <v/>
      </c>
      <c r="I193" s="209" t="str">
        <f>_xlfn.XLOOKUP($H193,'(backend scoring)'!$S$2:$S$333,'(backend scoring)'!$A$2:$A$333,"")</f>
        <v/>
      </c>
      <c r="J193" s="209" t="str">
        <f>IFERROR(VLOOKUP($I193,'Institution Evaluation'!$A$55:$F$345,2,0),IFERROR(VLOOKUP($I193,'Privacy Analyst Evaluation'!$A$46:$F$120,2,0),""))</f>
        <v/>
      </c>
      <c r="K193" s="209" t="str">
        <f>IFERROR(VLOOKUP($I193,'Institution Evaluation'!$A$55:$F$345,3,0),IFERROR(VLOOKUP($I193,'Privacy Analyst Evaluation'!$A$46:$F$120,3,0),""))&amp;""</f>
        <v/>
      </c>
      <c r="L193" s="209" t="str">
        <f>IFERROR(VLOOKUP($I193,'Institution Evaluation'!$A$55:$F$345,4,0),IFERROR(VLOOKUP($I193,'Privacy Analyst Evaluation'!$A$46:$F$120,4,0),""))&amp;""</f>
        <v/>
      </c>
      <c r="M193" s="209" t="str">
        <f>IFERROR(VLOOKUP($I193,'Institution Evaluation'!$A$55:$F$345,6,0),IFERROR(VLOOKUP($I193,'Privacy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2">
      <c r="A194" s="209" t="str">
        <f>IFERROR(IF($A193+1&gt;'(backend scoring)'!$T$335,"",$A193+1),"")</f>
        <v/>
      </c>
      <c r="B194" s="209" t="str">
        <f>_xlfn.XLOOKUP($A194,'(backend scoring)'!$V$2:$V$333,'(backend scoring)'!$A$2:$A$333,"")</f>
        <v/>
      </c>
      <c r="C194" s="209" t="str">
        <f>IFERROR(VLOOKUP($B194,'Institution Evaluation'!$A$55:$F$345,2,0),IFERROR(VLOOKUP($B194,'Privacy Analyst Evaluation'!$A$46:$F$120,2,0),""))&amp;""</f>
        <v/>
      </c>
      <c r="D194" s="209" t="str">
        <f>IFERROR(VLOOKUP($B194,'Institution Evaluation'!$A$55:$F$345,3,0),IFERROR(VLOOKUP($B194,'Privacy Analyst Evaluation'!$A$46:$F$120,3,0),""))&amp;""</f>
        <v/>
      </c>
      <c r="E194" s="209" t="str">
        <f>IFERROR(VLOOKUP($B194,'Institution Evaluation'!$A$55:$F$345,4,0),IFERROR(VLOOKUP($B194,'Privacy Analyst Evaluation'!$A$46:$F$120,4,0),""))&amp;""</f>
        <v/>
      </c>
      <c r="F194" s="209" t="str">
        <f>IFERROR(VLOOKUP($B194,'Institution Evaluation'!$A$55:$F$345,6,0),IFERROR(VLOOKUP($B194,'Privacy Analyst Evaluation'!$A$46:$F$120,6,0),""))&amp;""</f>
        <v/>
      </c>
      <c r="G194" s="210"/>
      <c r="H194" s="209" t="str">
        <f>IFERROR(IF($H193+1&gt;'(backend scoring)'!$Q$335,"",$H193+1),"")</f>
        <v/>
      </c>
      <c r="I194" s="209" t="str">
        <f>_xlfn.XLOOKUP($H194,'(backend scoring)'!$S$2:$S$333,'(backend scoring)'!$A$2:$A$333,"")</f>
        <v/>
      </c>
      <c r="J194" s="209" t="str">
        <f>IFERROR(VLOOKUP($I194,'Institution Evaluation'!$A$55:$F$345,2,0),IFERROR(VLOOKUP($I194,'Privacy Analyst Evaluation'!$A$46:$F$120,2,0),""))</f>
        <v/>
      </c>
      <c r="K194" s="209" t="str">
        <f>IFERROR(VLOOKUP($I194,'Institution Evaluation'!$A$55:$F$345,3,0),IFERROR(VLOOKUP($I194,'Privacy Analyst Evaluation'!$A$46:$F$120,3,0),""))&amp;""</f>
        <v/>
      </c>
      <c r="L194" s="209" t="str">
        <f>IFERROR(VLOOKUP($I194,'Institution Evaluation'!$A$55:$F$345,4,0),IFERROR(VLOOKUP($I194,'Privacy Analyst Evaluation'!$A$46:$F$120,4,0),""))&amp;""</f>
        <v/>
      </c>
      <c r="M194" s="209" t="str">
        <f>IFERROR(VLOOKUP($I194,'Institution Evaluation'!$A$55:$F$345,6,0),IFERROR(VLOOKUP($I194,'Privacy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2">
      <c r="A195" s="209" t="str">
        <f>IFERROR(IF($A194+1&gt;'(backend scoring)'!$T$335,"",$A194+1),"")</f>
        <v/>
      </c>
      <c r="B195" s="209" t="str">
        <f>_xlfn.XLOOKUP($A195,'(backend scoring)'!$V$2:$V$333,'(backend scoring)'!$A$2:$A$333,"")</f>
        <v/>
      </c>
      <c r="C195" s="209" t="str">
        <f>IFERROR(VLOOKUP($B195,'Institution Evaluation'!$A$55:$F$345,2,0),IFERROR(VLOOKUP($B195,'Privacy Analyst Evaluation'!$A$46:$F$120,2,0),""))&amp;""</f>
        <v/>
      </c>
      <c r="D195" s="209" t="str">
        <f>IFERROR(VLOOKUP($B195,'Institution Evaluation'!$A$55:$F$345,3,0),IFERROR(VLOOKUP($B195,'Privacy Analyst Evaluation'!$A$46:$F$120,3,0),""))&amp;""</f>
        <v/>
      </c>
      <c r="E195" s="209" t="str">
        <f>IFERROR(VLOOKUP($B195,'Institution Evaluation'!$A$55:$F$345,4,0),IFERROR(VLOOKUP($B195,'Privacy Analyst Evaluation'!$A$46:$F$120,4,0),""))&amp;""</f>
        <v/>
      </c>
      <c r="F195" s="209" t="str">
        <f>IFERROR(VLOOKUP($B195,'Institution Evaluation'!$A$55:$F$345,6,0),IFERROR(VLOOKUP($B195,'Privacy Analyst Evaluation'!$A$46:$F$120,6,0),""))&amp;""</f>
        <v/>
      </c>
      <c r="G195" s="210"/>
      <c r="H195" s="209" t="str">
        <f>IFERROR(IF($H194+1&gt;'(backend scoring)'!$Q$335,"",$H194+1),"")</f>
        <v/>
      </c>
      <c r="I195" s="209" t="str">
        <f>_xlfn.XLOOKUP($H195,'(backend scoring)'!$S$2:$S$333,'(backend scoring)'!$A$2:$A$333,"")</f>
        <v/>
      </c>
      <c r="J195" s="209" t="str">
        <f>IFERROR(VLOOKUP($I195,'Institution Evaluation'!$A$55:$F$345,2,0),IFERROR(VLOOKUP($I195,'Privacy Analyst Evaluation'!$A$46:$F$120,2,0),""))</f>
        <v/>
      </c>
      <c r="K195" s="209" t="str">
        <f>IFERROR(VLOOKUP($I195,'Institution Evaluation'!$A$55:$F$345,3,0),IFERROR(VLOOKUP($I195,'Privacy Analyst Evaluation'!$A$46:$F$120,3,0),""))&amp;""</f>
        <v/>
      </c>
      <c r="L195" s="209" t="str">
        <f>IFERROR(VLOOKUP($I195,'Institution Evaluation'!$A$55:$F$345,4,0),IFERROR(VLOOKUP($I195,'Privacy Analyst Evaluation'!$A$46:$F$120,4,0),""))&amp;""</f>
        <v/>
      </c>
      <c r="M195" s="209" t="str">
        <f>IFERROR(VLOOKUP($I195,'Institution Evaluation'!$A$55:$F$345,6,0),IFERROR(VLOOKUP($I195,'Privacy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2">
      <c r="A196" s="209" t="str">
        <f>IFERROR(IF($A195+1&gt;'(backend scoring)'!$T$335,"",$A195+1),"")</f>
        <v/>
      </c>
      <c r="B196" s="209" t="str">
        <f>_xlfn.XLOOKUP($A196,'(backend scoring)'!$V$2:$V$333,'(backend scoring)'!$A$2:$A$333,"")</f>
        <v/>
      </c>
      <c r="C196" s="209" t="str">
        <f>IFERROR(VLOOKUP($B196,'Institution Evaluation'!$A$55:$F$345,2,0),IFERROR(VLOOKUP($B196,'Privacy Analyst Evaluation'!$A$46:$F$120,2,0),""))&amp;""</f>
        <v/>
      </c>
      <c r="D196" s="209" t="str">
        <f>IFERROR(VLOOKUP($B196,'Institution Evaluation'!$A$55:$F$345,3,0),IFERROR(VLOOKUP($B196,'Privacy Analyst Evaluation'!$A$46:$F$120,3,0),""))&amp;""</f>
        <v/>
      </c>
      <c r="E196" s="209" t="str">
        <f>IFERROR(VLOOKUP($B196,'Institution Evaluation'!$A$55:$F$345,4,0),IFERROR(VLOOKUP($B196,'Privacy Analyst Evaluation'!$A$46:$F$120,4,0),""))&amp;""</f>
        <v/>
      </c>
      <c r="F196" s="209" t="str">
        <f>IFERROR(VLOOKUP($B196,'Institution Evaluation'!$A$55:$F$345,6,0),IFERROR(VLOOKUP($B196,'Privacy Analyst Evaluation'!$A$46:$F$120,6,0),""))&amp;""</f>
        <v/>
      </c>
      <c r="G196" s="210"/>
      <c r="H196" s="209" t="str">
        <f>IFERROR(IF($H195+1&gt;'(backend scoring)'!$Q$335,"",$H195+1),"")</f>
        <v/>
      </c>
      <c r="I196" s="209" t="str">
        <f>_xlfn.XLOOKUP($H196,'(backend scoring)'!$S$2:$S$333,'(backend scoring)'!$A$2:$A$333,"")</f>
        <v/>
      </c>
      <c r="J196" s="209" t="str">
        <f>IFERROR(VLOOKUP($I196,'Institution Evaluation'!$A$55:$F$345,2,0),IFERROR(VLOOKUP($I196,'Privacy Analyst Evaluation'!$A$46:$F$120,2,0),""))</f>
        <v/>
      </c>
      <c r="K196" s="209" t="str">
        <f>IFERROR(VLOOKUP($I196,'Institution Evaluation'!$A$55:$F$345,3,0),IFERROR(VLOOKUP($I196,'Privacy Analyst Evaluation'!$A$46:$F$120,3,0),""))&amp;""</f>
        <v/>
      </c>
      <c r="L196" s="209" t="str">
        <f>IFERROR(VLOOKUP($I196,'Institution Evaluation'!$A$55:$F$345,4,0),IFERROR(VLOOKUP($I196,'Privacy Analyst Evaluation'!$A$46:$F$120,4,0),""))&amp;""</f>
        <v/>
      </c>
      <c r="M196" s="209" t="str">
        <f>IFERROR(VLOOKUP($I196,'Institution Evaluation'!$A$55:$F$345,6,0),IFERROR(VLOOKUP($I196,'Privacy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2">
      <c r="A197" s="209" t="str">
        <f>IFERROR(IF($A196+1&gt;'(backend scoring)'!$T$335,"",$A196+1),"")</f>
        <v/>
      </c>
      <c r="B197" s="209" t="str">
        <f>_xlfn.XLOOKUP($A197,'(backend scoring)'!$V$2:$V$333,'(backend scoring)'!$A$2:$A$333,"")</f>
        <v/>
      </c>
      <c r="C197" s="209" t="str">
        <f>IFERROR(VLOOKUP($B197,'Institution Evaluation'!$A$55:$F$345,2,0),IFERROR(VLOOKUP($B197,'Privacy Analyst Evaluation'!$A$46:$F$120,2,0),""))&amp;""</f>
        <v/>
      </c>
      <c r="D197" s="209" t="str">
        <f>IFERROR(VLOOKUP($B197,'Institution Evaluation'!$A$55:$F$345,3,0),IFERROR(VLOOKUP($B197,'Privacy Analyst Evaluation'!$A$46:$F$120,3,0),""))&amp;""</f>
        <v/>
      </c>
      <c r="E197" s="209" t="str">
        <f>IFERROR(VLOOKUP($B197,'Institution Evaluation'!$A$55:$F$345,4,0),IFERROR(VLOOKUP($B197,'Privacy Analyst Evaluation'!$A$46:$F$120,4,0),""))&amp;""</f>
        <v/>
      </c>
      <c r="F197" s="209" t="str">
        <f>IFERROR(VLOOKUP($B197,'Institution Evaluation'!$A$55:$F$345,6,0),IFERROR(VLOOKUP($B197,'Privacy Analyst Evaluation'!$A$46:$F$120,6,0),""))&amp;""</f>
        <v/>
      </c>
      <c r="G197" s="210"/>
      <c r="H197" s="209" t="str">
        <f>IFERROR(IF($H196+1&gt;'(backend scoring)'!$Q$335,"",$H196+1),"")</f>
        <v/>
      </c>
      <c r="I197" s="209" t="str">
        <f>_xlfn.XLOOKUP($H197,'(backend scoring)'!$S$2:$S$333,'(backend scoring)'!$A$2:$A$333,"")</f>
        <v/>
      </c>
      <c r="J197" s="209" t="str">
        <f>IFERROR(VLOOKUP($I197,'Institution Evaluation'!$A$55:$F$345,2,0),IFERROR(VLOOKUP($I197,'Privacy Analyst Evaluation'!$A$46:$F$120,2,0),""))</f>
        <v/>
      </c>
      <c r="K197" s="209" t="str">
        <f>IFERROR(VLOOKUP($I197,'Institution Evaluation'!$A$55:$F$345,3,0),IFERROR(VLOOKUP($I197,'Privacy Analyst Evaluation'!$A$46:$F$120,3,0),""))&amp;""</f>
        <v/>
      </c>
      <c r="L197" s="209" t="str">
        <f>IFERROR(VLOOKUP($I197,'Institution Evaluation'!$A$55:$F$345,4,0),IFERROR(VLOOKUP($I197,'Privacy Analyst Evaluation'!$A$46:$F$120,4,0),""))&amp;""</f>
        <v/>
      </c>
      <c r="M197" s="209" t="str">
        <f>IFERROR(VLOOKUP($I197,'Institution Evaluation'!$A$55:$F$345,6,0),IFERROR(VLOOKUP($I197,'Privacy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2">
      <c r="A198" s="209" t="str">
        <f>IFERROR(IF($A197+1&gt;'(backend scoring)'!$T$335,"",$A197+1),"")</f>
        <v/>
      </c>
      <c r="B198" s="209" t="str">
        <f>_xlfn.XLOOKUP($A198,'(backend scoring)'!$V$2:$V$333,'(backend scoring)'!$A$2:$A$333,"")</f>
        <v/>
      </c>
      <c r="C198" s="209" t="str">
        <f>IFERROR(VLOOKUP($B198,'Institution Evaluation'!$A$55:$F$345,2,0),IFERROR(VLOOKUP($B198,'Privacy Analyst Evaluation'!$A$46:$F$120,2,0),""))&amp;""</f>
        <v/>
      </c>
      <c r="D198" s="209" t="str">
        <f>IFERROR(VLOOKUP($B198,'Institution Evaluation'!$A$55:$F$345,3,0),IFERROR(VLOOKUP($B198,'Privacy Analyst Evaluation'!$A$46:$F$120,3,0),""))&amp;""</f>
        <v/>
      </c>
      <c r="E198" s="209" t="str">
        <f>IFERROR(VLOOKUP($B198,'Institution Evaluation'!$A$55:$F$345,4,0),IFERROR(VLOOKUP($B198,'Privacy Analyst Evaluation'!$A$46:$F$120,4,0),""))&amp;""</f>
        <v/>
      </c>
      <c r="F198" s="209" t="str">
        <f>IFERROR(VLOOKUP($B198,'Institution Evaluation'!$A$55:$F$345,6,0),IFERROR(VLOOKUP($B198,'Privacy Analyst Evaluation'!$A$46:$F$120,6,0),""))&amp;""</f>
        <v/>
      </c>
      <c r="G198" s="210"/>
      <c r="H198" s="209" t="str">
        <f>IFERROR(IF($H197+1&gt;'(backend scoring)'!$Q$335,"",$H197+1),"")</f>
        <v/>
      </c>
      <c r="I198" s="209" t="str">
        <f>_xlfn.XLOOKUP($H198,'(backend scoring)'!$S$2:$S$333,'(backend scoring)'!$A$2:$A$333,"")</f>
        <v/>
      </c>
      <c r="J198" s="209" t="str">
        <f>IFERROR(VLOOKUP($I198,'Institution Evaluation'!$A$55:$F$345,2,0),IFERROR(VLOOKUP($I198,'Privacy Analyst Evaluation'!$A$46:$F$120,2,0),""))</f>
        <v/>
      </c>
      <c r="K198" s="209" t="str">
        <f>IFERROR(VLOOKUP($I198,'Institution Evaluation'!$A$55:$F$345,3,0),IFERROR(VLOOKUP($I198,'Privacy Analyst Evaluation'!$A$46:$F$120,3,0),""))&amp;""</f>
        <v/>
      </c>
      <c r="L198" s="209" t="str">
        <f>IFERROR(VLOOKUP($I198,'Institution Evaluation'!$A$55:$F$345,4,0),IFERROR(VLOOKUP($I198,'Privacy Analyst Evaluation'!$A$46:$F$120,4,0),""))&amp;""</f>
        <v/>
      </c>
      <c r="M198" s="209" t="str">
        <f>IFERROR(VLOOKUP($I198,'Institution Evaluation'!$A$55:$F$345,6,0),IFERROR(VLOOKUP($I198,'Privacy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2">
      <c r="A199" s="209" t="str">
        <f>IFERROR(IF($A198+1&gt;'(backend scoring)'!$T$335,"",$A198+1),"")</f>
        <v/>
      </c>
      <c r="B199" s="209" t="str">
        <f>_xlfn.XLOOKUP($A199,'(backend scoring)'!$V$2:$V$333,'(backend scoring)'!$A$2:$A$333,"")</f>
        <v/>
      </c>
      <c r="C199" s="209" t="str">
        <f>IFERROR(VLOOKUP($B199,'Institution Evaluation'!$A$55:$F$345,2,0),IFERROR(VLOOKUP($B199,'Privacy Analyst Evaluation'!$A$46:$F$120,2,0),""))&amp;""</f>
        <v/>
      </c>
      <c r="D199" s="209" t="str">
        <f>IFERROR(VLOOKUP($B199,'Institution Evaluation'!$A$55:$F$345,3,0),IFERROR(VLOOKUP($B199,'Privacy Analyst Evaluation'!$A$46:$F$120,3,0),""))&amp;""</f>
        <v/>
      </c>
      <c r="E199" s="209" t="str">
        <f>IFERROR(VLOOKUP($B199,'Institution Evaluation'!$A$55:$F$345,4,0),IFERROR(VLOOKUP($B199,'Privacy Analyst Evaluation'!$A$46:$F$120,4,0),""))&amp;""</f>
        <v/>
      </c>
      <c r="F199" s="209" t="str">
        <f>IFERROR(VLOOKUP($B199,'Institution Evaluation'!$A$55:$F$345,6,0),IFERROR(VLOOKUP($B199,'Privacy Analyst Evaluation'!$A$46:$F$120,6,0),""))&amp;""</f>
        <v/>
      </c>
      <c r="G199" s="210"/>
      <c r="H199" s="209" t="str">
        <f>IFERROR(IF($H198+1&gt;'(backend scoring)'!$Q$335,"",$H198+1),"")</f>
        <v/>
      </c>
      <c r="I199" s="209" t="str">
        <f>_xlfn.XLOOKUP($H199,'(backend scoring)'!$S$2:$S$333,'(backend scoring)'!$A$2:$A$333,"")</f>
        <v/>
      </c>
      <c r="J199" s="209" t="str">
        <f>IFERROR(VLOOKUP($I199,'Institution Evaluation'!$A$55:$F$345,2,0),IFERROR(VLOOKUP($I199,'Privacy Analyst Evaluation'!$A$46:$F$120,2,0),""))</f>
        <v/>
      </c>
      <c r="K199" s="209" t="str">
        <f>IFERROR(VLOOKUP($I199,'Institution Evaluation'!$A$55:$F$345,3,0),IFERROR(VLOOKUP($I199,'Privacy Analyst Evaluation'!$A$46:$F$120,3,0),""))&amp;""</f>
        <v/>
      </c>
      <c r="L199" s="209" t="str">
        <f>IFERROR(VLOOKUP($I199,'Institution Evaluation'!$A$55:$F$345,4,0),IFERROR(VLOOKUP($I199,'Privacy Analyst Evaluation'!$A$46:$F$120,4,0),""))&amp;""</f>
        <v/>
      </c>
      <c r="M199" s="209" t="str">
        <f>IFERROR(VLOOKUP($I199,'Institution Evaluation'!$A$55:$F$345,6,0),IFERROR(VLOOKUP($I199,'Privacy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2">
      <c r="A200" s="209" t="str">
        <f>IFERROR(IF($A199+1&gt;'(backend scoring)'!$T$335,"",$A199+1),"")</f>
        <v/>
      </c>
      <c r="B200" s="209" t="str">
        <f>_xlfn.XLOOKUP($A200,'(backend scoring)'!$V$2:$V$333,'(backend scoring)'!$A$2:$A$333,"")</f>
        <v/>
      </c>
      <c r="C200" s="209" t="str">
        <f>IFERROR(VLOOKUP($B200,'Institution Evaluation'!$A$55:$F$345,2,0),IFERROR(VLOOKUP($B200,'Privacy Analyst Evaluation'!$A$46:$F$120,2,0),""))&amp;""</f>
        <v/>
      </c>
      <c r="D200" s="209" t="str">
        <f>IFERROR(VLOOKUP($B200,'Institution Evaluation'!$A$55:$F$345,3,0),IFERROR(VLOOKUP($B200,'Privacy Analyst Evaluation'!$A$46:$F$120,3,0),""))&amp;""</f>
        <v/>
      </c>
      <c r="E200" s="209" t="str">
        <f>IFERROR(VLOOKUP($B200,'Institution Evaluation'!$A$55:$F$345,4,0),IFERROR(VLOOKUP($B200,'Privacy Analyst Evaluation'!$A$46:$F$120,4,0),""))&amp;""</f>
        <v/>
      </c>
      <c r="F200" s="209" t="str">
        <f>IFERROR(VLOOKUP($B200,'Institution Evaluation'!$A$55:$F$345,6,0),IFERROR(VLOOKUP($B200,'Privacy Analyst Evaluation'!$A$46:$F$120,6,0),""))&amp;""</f>
        <v/>
      </c>
      <c r="G200" s="210"/>
      <c r="H200" s="209" t="str">
        <f>IFERROR(IF($H199+1&gt;'(backend scoring)'!$Q$335,"",$H199+1),"")</f>
        <v/>
      </c>
      <c r="I200" s="209" t="str">
        <f>_xlfn.XLOOKUP($H200,'(backend scoring)'!$S$2:$S$333,'(backend scoring)'!$A$2:$A$333,"")</f>
        <v/>
      </c>
      <c r="J200" s="209" t="str">
        <f>IFERROR(VLOOKUP($I200,'Institution Evaluation'!$A$55:$F$345,2,0),IFERROR(VLOOKUP($I200,'Privacy Analyst Evaluation'!$A$46:$F$120,2,0),""))</f>
        <v/>
      </c>
      <c r="K200" s="209" t="str">
        <f>IFERROR(VLOOKUP($I200,'Institution Evaluation'!$A$55:$F$345,3,0),IFERROR(VLOOKUP($I200,'Privacy Analyst Evaluation'!$A$46:$F$120,3,0),""))&amp;""</f>
        <v/>
      </c>
      <c r="L200" s="209" t="str">
        <f>IFERROR(VLOOKUP($I200,'Institution Evaluation'!$A$55:$F$345,4,0),IFERROR(VLOOKUP($I200,'Privacy Analyst Evaluation'!$A$46:$F$120,4,0),""))&amp;""</f>
        <v/>
      </c>
      <c r="M200" s="209" t="str">
        <f>IFERROR(VLOOKUP($I200,'Institution Evaluation'!$A$55:$F$345,6,0),IFERROR(VLOOKUP($I200,'Privacy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2">
      <c r="A201" s="209" t="str">
        <f>IFERROR(IF($A200+1&gt;'(backend scoring)'!$T$335,"",$A200+1),"")</f>
        <v/>
      </c>
      <c r="B201" s="209" t="str">
        <f>_xlfn.XLOOKUP($A201,'(backend scoring)'!$V$2:$V$333,'(backend scoring)'!$A$2:$A$333,"")</f>
        <v/>
      </c>
      <c r="C201" s="209" t="str">
        <f>IFERROR(VLOOKUP($B201,'Institution Evaluation'!$A$55:$F$345,2,0),IFERROR(VLOOKUP($B201,'Privacy Analyst Evaluation'!$A$46:$F$120,2,0),""))&amp;""</f>
        <v/>
      </c>
      <c r="D201" s="209" t="str">
        <f>IFERROR(VLOOKUP($B201,'Institution Evaluation'!$A$55:$F$345,3,0),IFERROR(VLOOKUP($B201,'Privacy Analyst Evaluation'!$A$46:$F$120,3,0),""))&amp;""</f>
        <v/>
      </c>
      <c r="E201" s="209" t="str">
        <f>IFERROR(VLOOKUP($B201,'Institution Evaluation'!$A$55:$F$345,4,0),IFERROR(VLOOKUP($B201,'Privacy Analyst Evaluation'!$A$46:$F$120,4,0),""))&amp;""</f>
        <v/>
      </c>
      <c r="F201" s="209" t="str">
        <f>IFERROR(VLOOKUP($B201,'Institution Evaluation'!$A$55:$F$345,6,0),IFERROR(VLOOKUP($B201,'Privacy Analyst Evaluation'!$A$46:$F$120,6,0),""))&amp;""</f>
        <v/>
      </c>
      <c r="G201" s="210"/>
      <c r="H201" s="209" t="str">
        <f>IFERROR(IF($H200+1&gt;'(backend scoring)'!$Q$335,"",$H200+1),"")</f>
        <v/>
      </c>
      <c r="I201" s="209" t="str">
        <f>_xlfn.XLOOKUP($H201,'(backend scoring)'!$S$2:$S$333,'(backend scoring)'!$A$2:$A$333,"")</f>
        <v/>
      </c>
      <c r="J201" s="209" t="str">
        <f>IFERROR(VLOOKUP($I201,'Institution Evaluation'!$A$55:$F$345,2,0),IFERROR(VLOOKUP($I201,'Privacy Analyst Evaluation'!$A$46:$F$120,2,0),""))</f>
        <v/>
      </c>
      <c r="K201" s="209" t="str">
        <f>IFERROR(VLOOKUP($I201,'Institution Evaluation'!$A$55:$F$345,3,0),IFERROR(VLOOKUP($I201,'Privacy Analyst Evaluation'!$A$46:$F$120,3,0),""))&amp;""</f>
        <v/>
      </c>
      <c r="L201" s="209" t="str">
        <f>IFERROR(VLOOKUP($I201,'Institution Evaluation'!$A$55:$F$345,4,0),IFERROR(VLOOKUP($I201,'Privacy Analyst Evaluation'!$A$46:$F$120,4,0),""))&amp;""</f>
        <v/>
      </c>
      <c r="M201" s="209" t="str">
        <f>IFERROR(VLOOKUP($I201,'Institution Evaluation'!$A$55:$F$345,6,0),IFERROR(VLOOKUP($I201,'Privacy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2">
      <c r="A202" s="209" t="str">
        <f>IFERROR(IF($A201+1&gt;'(backend scoring)'!$T$335,"",$A201+1),"")</f>
        <v/>
      </c>
      <c r="B202" s="209" t="str">
        <f>_xlfn.XLOOKUP($A202,'(backend scoring)'!$V$2:$V$333,'(backend scoring)'!$A$2:$A$333,"")</f>
        <v/>
      </c>
      <c r="C202" s="209" t="str">
        <f>IFERROR(VLOOKUP($B202,'Institution Evaluation'!$A$55:$F$345,2,0),IFERROR(VLOOKUP($B202,'Privacy Analyst Evaluation'!$A$46:$F$120,2,0),""))&amp;""</f>
        <v/>
      </c>
      <c r="D202" s="209" t="str">
        <f>IFERROR(VLOOKUP($B202,'Institution Evaluation'!$A$55:$F$345,3,0),IFERROR(VLOOKUP($B202,'Privacy Analyst Evaluation'!$A$46:$F$120,3,0),""))&amp;""</f>
        <v/>
      </c>
      <c r="E202" s="209" t="str">
        <f>IFERROR(VLOOKUP($B202,'Institution Evaluation'!$A$55:$F$345,4,0),IFERROR(VLOOKUP($B202,'Privacy Analyst Evaluation'!$A$46:$F$120,4,0),""))&amp;""</f>
        <v/>
      </c>
      <c r="F202" s="209" t="str">
        <f>IFERROR(VLOOKUP($B202,'Institution Evaluation'!$A$55:$F$345,6,0),IFERROR(VLOOKUP($B202,'Privacy Analyst Evaluation'!$A$46:$F$120,6,0),""))&amp;""</f>
        <v/>
      </c>
      <c r="G202" s="210"/>
      <c r="H202" s="209" t="str">
        <f>IFERROR(IF($H201+1&gt;'(backend scoring)'!$Q$335,"",$H201+1),"")</f>
        <v/>
      </c>
      <c r="I202" s="209" t="str">
        <f>_xlfn.XLOOKUP($H202,'(backend scoring)'!$S$2:$S$333,'(backend scoring)'!$A$2:$A$333,"")</f>
        <v/>
      </c>
      <c r="J202" s="209" t="str">
        <f>IFERROR(VLOOKUP($I202,'Institution Evaluation'!$A$55:$F$345,2,0),IFERROR(VLOOKUP($I202,'Privacy Analyst Evaluation'!$A$46:$F$120,2,0),""))</f>
        <v/>
      </c>
      <c r="K202" s="209" t="str">
        <f>IFERROR(VLOOKUP($I202,'Institution Evaluation'!$A$55:$F$345,3,0),IFERROR(VLOOKUP($I202,'Privacy Analyst Evaluation'!$A$46:$F$120,3,0),""))&amp;""</f>
        <v/>
      </c>
      <c r="L202" s="209" t="str">
        <f>IFERROR(VLOOKUP($I202,'Institution Evaluation'!$A$55:$F$345,4,0),IFERROR(VLOOKUP($I202,'Privacy Analyst Evaluation'!$A$46:$F$120,4,0),""))&amp;""</f>
        <v/>
      </c>
      <c r="M202" s="209" t="str">
        <f>IFERROR(VLOOKUP($I202,'Institution Evaluation'!$A$55:$F$345,6,0),IFERROR(VLOOKUP($I202,'Privacy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2">
      <c r="A203" s="209" t="str">
        <f>IFERROR(IF($A202+1&gt;'(backend scoring)'!$T$335,"",$A202+1),"")</f>
        <v/>
      </c>
      <c r="B203" s="209" t="str">
        <f>_xlfn.XLOOKUP($A203,'(backend scoring)'!$V$2:$V$333,'(backend scoring)'!$A$2:$A$333,"")</f>
        <v/>
      </c>
      <c r="C203" s="209" t="str">
        <f>IFERROR(VLOOKUP($B203,'Institution Evaluation'!$A$55:$F$345,2,0),IFERROR(VLOOKUP($B203,'Privacy Analyst Evaluation'!$A$46:$F$120,2,0),""))&amp;""</f>
        <v/>
      </c>
      <c r="D203" s="209" t="str">
        <f>IFERROR(VLOOKUP($B203,'Institution Evaluation'!$A$55:$F$345,3,0),IFERROR(VLOOKUP($B203,'Privacy Analyst Evaluation'!$A$46:$F$120,3,0),""))&amp;""</f>
        <v/>
      </c>
      <c r="E203" s="209" t="str">
        <f>IFERROR(VLOOKUP($B203,'Institution Evaluation'!$A$55:$F$345,4,0),IFERROR(VLOOKUP($B203,'Privacy Analyst Evaluation'!$A$46:$F$120,4,0),""))&amp;""</f>
        <v/>
      </c>
      <c r="F203" s="209" t="str">
        <f>IFERROR(VLOOKUP($B203,'Institution Evaluation'!$A$55:$F$345,6,0),IFERROR(VLOOKUP($B203,'Privacy Analyst Evaluation'!$A$46:$F$120,6,0),""))&amp;""</f>
        <v/>
      </c>
      <c r="G203" s="210"/>
      <c r="H203" s="209" t="str">
        <f>IFERROR(IF($H202+1&gt;'(backend scoring)'!$Q$335,"",$H202+1),"")</f>
        <v/>
      </c>
      <c r="I203" s="209" t="str">
        <f>_xlfn.XLOOKUP($H203,'(backend scoring)'!$S$2:$S$333,'(backend scoring)'!$A$2:$A$333,"")</f>
        <v/>
      </c>
      <c r="J203" s="209" t="str">
        <f>IFERROR(VLOOKUP($I203,'Institution Evaluation'!$A$55:$F$345,2,0),IFERROR(VLOOKUP($I203,'Privacy Analyst Evaluation'!$A$46:$F$120,2,0),""))</f>
        <v/>
      </c>
      <c r="K203" s="209" t="str">
        <f>IFERROR(VLOOKUP($I203,'Institution Evaluation'!$A$55:$F$345,3,0),IFERROR(VLOOKUP($I203,'Privacy Analyst Evaluation'!$A$46:$F$120,3,0),""))&amp;""</f>
        <v/>
      </c>
      <c r="L203" s="209" t="str">
        <f>IFERROR(VLOOKUP($I203,'Institution Evaluation'!$A$55:$F$345,4,0),IFERROR(VLOOKUP($I203,'Privacy Analyst Evaluation'!$A$46:$F$120,4,0),""))&amp;""</f>
        <v/>
      </c>
      <c r="M203" s="209" t="str">
        <f>IFERROR(VLOOKUP($I203,'Institution Evaluation'!$A$55:$F$345,6,0),IFERROR(VLOOKUP($I203,'Privacy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2">
      <c r="A204" s="209" t="str">
        <f>IFERROR(IF($A203+1&gt;'(backend scoring)'!$T$335,"",$A203+1),"")</f>
        <v/>
      </c>
      <c r="B204" s="209" t="str">
        <f>_xlfn.XLOOKUP($A204,'(backend scoring)'!$V$2:$V$333,'(backend scoring)'!$A$2:$A$333,"")</f>
        <v/>
      </c>
      <c r="C204" s="209" t="str">
        <f>IFERROR(VLOOKUP($B204,'Institution Evaluation'!$A$55:$F$345,2,0),IFERROR(VLOOKUP($B204,'Privacy Analyst Evaluation'!$A$46:$F$120,2,0),""))&amp;""</f>
        <v/>
      </c>
      <c r="D204" s="209" t="str">
        <f>IFERROR(VLOOKUP($B204,'Institution Evaluation'!$A$55:$F$345,3,0),IFERROR(VLOOKUP($B204,'Privacy Analyst Evaluation'!$A$46:$F$120,3,0),""))&amp;""</f>
        <v/>
      </c>
      <c r="E204" s="209" t="str">
        <f>IFERROR(VLOOKUP($B204,'Institution Evaluation'!$A$55:$F$345,4,0),IFERROR(VLOOKUP($B204,'Privacy Analyst Evaluation'!$A$46:$F$120,4,0),""))&amp;""</f>
        <v/>
      </c>
      <c r="F204" s="209" t="str">
        <f>IFERROR(VLOOKUP($B204,'Institution Evaluation'!$A$55:$F$345,6,0),IFERROR(VLOOKUP($B204,'Privacy Analyst Evaluation'!$A$46:$F$120,6,0),""))&amp;""</f>
        <v/>
      </c>
      <c r="G204" s="210"/>
      <c r="H204" s="209" t="str">
        <f>IFERROR(IF($H203+1&gt;'(backend scoring)'!$Q$335,"",$H203+1),"")</f>
        <v/>
      </c>
      <c r="I204" s="209" t="str">
        <f>_xlfn.XLOOKUP($H204,'(backend scoring)'!$S$2:$S$333,'(backend scoring)'!$A$2:$A$333,"")</f>
        <v/>
      </c>
      <c r="J204" s="209" t="str">
        <f>IFERROR(VLOOKUP($I204,'Institution Evaluation'!$A$55:$F$345,2,0),IFERROR(VLOOKUP($I204,'Privacy Analyst Evaluation'!$A$46:$F$120,2,0),""))</f>
        <v/>
      </c>
      <c r="K204" s="209" t="str">
        <f>IFERROR(VLOOKUP($I204,'Institution Evaluation'!$A$55:$F$345,3,0),IFERROR(VLOOKUP($I204,'Privacy Analyst Evaluation'!$A$46:$F$120,3,0),""))&amp;""</f>
        <v/>
      </c>
      <c r="L204" s="209" t="str">
        <f>IFERROR(VLOOKUP($I204,'Institution Evaluation'!$A$55:$F$345,4,0),IFERROR(VLOOKUP($I204,'Privacy Analyst Evaluation'!$A$46:$F$120,4,0),""))&amp;""</f>
        <v/>
      </c>
      <c r="M204" s="209" t="str">
        <f>IFERROR(VLOOKUP($I204,'Institution Evaluation'!$A$55:$F$345,6,0),IFERROR(VLOOKUP($I204,'Privacy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2">
      <c r="A205" s="209" t="str">
        <f>IFERROR(IF($A204+1&gt;'(backend scoring)'!$T$335,"",$A204+1),"")</f>
        <v/>
      </c>
      <c r="B205" s="209" t="str">
        <f>_xlfn.XLOOKUP($A205,'(backend scoring)'!$V$2:$V$333,'(backend scoring)'!$A$2:$A$333,"")</f>
        <v/>
      </c>
      <c r="C205" s="209" t="str">
        <f>IFERROR(VLOOKUP($B205,'Institution Evaluation'!$A$55:$F$345,2,0),IFERROR(VLOOKUP($B205,'Privacy Analyst Evaluation'!$A$46:$F$120,2,0),""))&amp;""</f>
        <v/>
      </c>
      <c r="D205" s="209" t="str">
        <f>IFERROR(VLOOKUP($B205,'Institution Evaluation'!$A$55:$F$345,3,0),IFERROR(VLOOKUP($B205,'Privacy Analyst Evaluation'!$A$46:$F$120,3,0),""))&amp;""</f>
        <v/>
      </c>
      <c r="E205" s="209" t="str">
        <f>IFERROR(VLOOKUP($B205,'Institution Evaluation'!$A$55:$F$345,4,0),IFERROR(VLOOKUP($B205,'Privacy Analyst Evaluation'!$A$46:$F$120,4,0),""))&amp;""</f>
        <v/>
      </c>
      <c r="F205" s="209" t="str">
        <f>IFERROR(VLOOKUP($B205,'Institution Evaluation'!$A$55:$F$345,6,0),IFERROR(VLOOKUP($B205,'Privacy Analyst Evaluation'!$A$46:$F$120,6,0),""))&amp;""</f>
        <v/>
      </c>
      <c r="G205" s="210"/>
      <c r="H205" s="209" t="str">
        <f>IFERROR(IF($H204+1&gt;'(backend scoring)'!$Q$335,"",$H204+1),"")</f>
        <v/>
      </c>
      <c r="I205" s="209" t="str">
        <f>_xlfn.XLOOKUP($H205,'(backend scoring)'!$S$2:$S$333,'(backend scoring)'!$A$2:$A$333,"")</f>
        <v/>
      </c>
      <c r="J205" s="209" t="str">
        <f>IFERROR(VLOOKUP($I205,'Institution Evaluation'!$A$55:$F$345,2,0),IFERROR(VLOOKUP($I205,'Privacy Analyst Evaluation'!$A$46:$F$120,2,0),""))</f>
        <v/>
      </c>
      <c r="K205" s="209" t="str">
        <f>IFERROR(VLOOKUP($I205,'Institution Evaluation'!$A$55:$F$345,3,0),IFERROR(VLOOKUP($I205,'Privacy Analyst Evaluation'!$A$46:$F$120,3,0),""))&amp;""</f>
        <v/>
      </c>
      <c r="L205" s="209" t="str">
        <f>IFERROR(VLOOKUP($I205,'Institution Evaluation'!$A$55:$F$345,4,0),IFERROR(VLOOKUP($I205,'Privacy Analyst Evaluation'!$A$46:$F$120,4,0),""))&amp;""</f>
        <v/>
      </c>
      <c r="M205" s="209" t="str">
        <f>IFERROR(VLOOKUP($I205,'Institution Evaluation'!$A$55:$F$345,6,0),IFERROR(VLOOKUP($I205,'Privacy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2">
      <c r="A206" s="209" t="str">
        <f>IFERROR(IF($A205+1&gt;'(backend scoring)'!$T$335,"",$A205+1),"")</f>
        <v/>
      </c>
      <c r="B206" s="209" t="str">
        <f>_xlfn.XLOOKUP($A206,'(backend scoring)'!$V$2:$V$333,'(backend scoring)'!$A$2:$A$333,"")</f>
        <v/>
      </c>
      <c r="C206" s="209" t="str">
        <f>IFERROR(VLOOKUP($B206,'Institution Evaluation'!$A$55:$F$345,2,0),IFERROR(VLOOKUP($B206,'Privacy Analyst Evaluation'!$A$46:$F$120,2,0),""))&amp;""</f>
        <v/>
      </c>
      <c r="D206" s="209" t="str">
        <f>IFERROR(VLOOKUP($B206,'Institution Evaluation'!$A$55:$F$345,3,0),IFERROR(VLOOKUP($B206,'Privacy Analyst Evaluation'!$A$46:$F$120,3,0),""))&amp;""</f>
        <v/>
      </c>
      <c r="E206" s="209" t="str">
        <f>IFERROR(VLOOKUP($B206,'Institution Evaluation'!$A$55:$F$345,4,0),IFERROR(VLOOKUP($B206,'Privacy Analyst Evaluation'!$A$46:$F$120,4,0),""))&amp;""</f>
        <v/>
      </c>
      <c r="F206" s="209" t="str">
        <f>IFERROR(VLOOKUP($B206,'Institution Evaluation'!$A$55:$F$345,6,0),IFERROR(VLOOKUP($B206,'Privacy Analyst Evaluation'!$A$46:$F$120,6,0),""))&amp;""</f>
        <v/>
      </c>
      <c r="G206" s="210"/>
      <c r="H206" s="209" t="str">
        <f>IFERROR(IF($H205+1&gt;'(backend scoring)'!$Q$335,"",$H205+1),"")</f>
        <v/>
      </c>
      <c r="I206" s="209" t="str">
        <f>_xlfn.XLOOKUP($H206,'(backend scoring)'!$S$2:$S$333,'(backend scoring)'!$A$2:$A$333,"")</f>
        <v/>
      </c>
      <c r="J206" s="209" t="str">
        <f>IFERROR(VLOOKUP($I206,'Institution Evaluation'!$A$55:$F$345,2,0),IFERROR(VLOOKUP($I206,'Privacy Analyst Evaluation'!$A$46:$F$120,2,0),""))</f>
        <v/>
      </c>
      <c r="K206" s="209" t="str">
        <f>IFERROR(VLOOKUP($I206,'Institution Evaluation'!$A$55:$F$345,3,0),IFERROR(VLOOKUP($I206,'Privacy Analyst Evaluation'!$A$46:$F$120,3,0),""))&amp;""</f>
        <v/>
      </c>
      <c r="L206" s="209" t="str">
        <f>IFERROR(VLOOKUP($I206,'Institution Evaluation'!$A$55:$F$345,4,0),IFERROR(VLOOKUP($I206,'Privacy Analyst Evaluation'!$A$46:$F$120,4,0),""))&amp;""</f>
        <v/>
      </c>
      <c r="M206" s="209" t="str">
        <f>IFERROR(VLOOKUP($I206,'Institution Evaluation'!$A$55:$F$345,6,0),IFERROR(VLOOKUP($I206,'Privacy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2">
      <c r="A207" s="209" t="str">
        <f>IFERROR(IF($A206+1&gt;'(backend scoring)'!$T$335,"",$A206+1),"")</f>
        <v/>
      </c>
      <c r="B207" s="209" t="str">
        <f>_xlfn.XLOOKUP($A207,'(backend scoring)'!$V$2:$V$333,'(backend scoring)'!$A$2:$A$333,"")</f>
        <v/>
      </c>
      <c r="C207" s="209" t="str">
        <f>IFERROR(VLOOKUP($B207,'Institution Evaluation'!$A$55:$F$345,2,0),IFERROR(VLOOKUP($B207,'Privacy Analyst Evaluation'!$A$46:$F$120,2,0),""))&amp;""</f>
        <v/>
      </c>
      <c r="D207" s="209" t="str">
        <f>IFERROR(VLOOKUP($B207,'Institution Evaluation'!$A$55:$F$345,3,0),IFERROR(VLOOKUP($B207,'Privacy Analyst Evaluation'!$A$46:$F$120,3,0),""))&amp;""</f>
        <v/>
      </c>
      <c r="E207" s="209" t="str">
        <f>IFERROR(VLOOKUP($B207,'Institution Evaluation'!$A$55:$F$345,4,0),IFERROR(VLOOKUP($B207,'Privacy Analyst Evaluation'!$A$46:$F$120,4,0),""))&amp;""</f>
        <v/>
      </c>
      <c r="F207" s="209" t="str">
        <f>IFERROR(VLOOKUP($B207,'Institution Evaluation'!$A$55:$F$345,6,0),IFERROR(VLOOKUP($B207,'Privacy Analyst Evaluation'!$A$46:$F$120,6,0),""))&amp;""</f>
        <v/>
      </c>
      <c r="G207" s="210"/>
      <c r="H207" s="209" t="str">
        <f>IFERROR(IF($H206+1&gt;'(backend scoring)'!$Q$335,"",$H206+1),"")</f>
        <v/>
      </c>
      <c r="I207" s="209" t="str">
        <f>_xlfn.XLOOKUP($H207,'(backend scoring)'!$S$2:$S$333,'(backend scoring)'!$A$2:$A$333,"")</f>
        <v/>
      </c>
      <c r="J207" s="209" t="str">
        <f>IFERROR(VLOOKUP($I207,'Institution Evaluation'!$A$55:$F$345,2,0),IFERROR(VLOOKUP($I207,'Privacy Analyst Evaluation'!$A$46:$F$120,2,0),""))</f>
        <v/>
      </c>
      <c r="K207" s="209" t="str">
        <f>IFERROR(VLOOKUP($I207,'Institution Evaluation'!$A$55:$F$345,3,0),IFERROR(VLOOKUP($I207,'Privacy Analyst Evaluation'!$A$46:$F$120,3,0),""))&amp;""</f>
        <v/>
      </c>
      <c r="L207" s="209" t="str">
        <f>IFERROR(VLOOKUP($I207,'Institution Evaluation'!$A$55:$F$345,4,0),IFERROR(VLOOKUP($I207,'Privacy Analyst Evaluation'!$A$46:$F$120,4,0),""))&amp;""</f>
        <v/>
      </c>
      <c r="M207" s="209" t="str">
        <f>IFERROR(VLOOKUP($I207,'Institution Evaluation'!$A$55:$F$345,6,0),IFERROR(VLOOKUP($I207,'Privacy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2">
      <c r="A208" s="209" t="str">
        <f>IFERROR(IF($A207+1&gt;'(backend scoring)'!$T$335,"",$A207+1),"")</f>
        <v/>
      </c>
      <c r="B208" s="209" t="str">
        <f>_xlfn.XLOOKUP($A208,'(backend scoring)'!$V$2:$V$333,'(backend scoring)'!$A$2:$A$333,"")</f>
        <v/>
      </c>
      <c r="C208" s="209" t="str">
        <f>IFERROR(VLOOKUP($B208,'Institution Evaluation'!$A$55:$F$345,2,0),IFERROR(VLOOKUP($B208,'Privacy Analyst Evaluation'!$A$46:$F$120,2,0),""))&amp;""</f>
        <v/>
      </c>
      <c r="D208" s="209" t="str">
        <f>IFERROR(VLOOKUP($B208,'Institution Evaluation'!$A$55:$F$345,3,0),IFERROR(VLOOKUP($B208,'Privacy Analyst Evaluation'!$A$46:$F$120,3,0),""))&amp;""</f>
        <v/>
      </c>
      <c r="E208" s="209" t="str">
        <f>IFERROR(VLOOKUP($B208,'Institution Evaluation'!$A$55:$F$345,4,0),IFERROR(VLOOKUP($B208,'Privacy Analyst Evaluation'!$A$46:$F$120,4,0),""))&amp;""</f>
        <v/>
      </c>
      <c r="F208" s="209" t="str">
        <f>IFERROR(VLOOKUP($B208,'Institution Evaluation'!$A$55:$F$345,6,0),IFERROR(VLOOKUP($B208,'Privacy Analyst Evaluation'!$A$46:$F$120,6,0),""))&amp;""</f>
        <v/>
      </c>
      <c r="G208" s="210"/>
      <c r="H208" s="209" t="str">
        <f>IFERROR(IF($H207+1&gt;'(backend scoring)'!$Q$335,"",$H207+1),"")</f>
        <v/>
      </c>
      <c r="I208" s="209" t="str">
        <f>_xlfn.XLOOKUP($H208,'(backend scoring)'!$S$2:$S$333,'(backend scoring)'!$A$2:$A$333,"")</f>
        <v/>
      </c>
      <c r="J208" s="209" t="str">
        <f>IFERROR(VLOOKUP($I208,'Institution Evaluation'!$A$55:$F$345,2,0),IFERROR(VLOOKUP($I208,'Privacy Analyst Evaluation'!$A$46:$F$120,2,0),""))</f>
        <v/>
      </c>
      <c r="K208" s="209" t="str">
        <f>IFERROR(VLOOKUP($I208,'Institution Evaluation'!$A$55:$F$345,3,0),IFERROR(VLOOKUP($I208,'Privacy Analyst Evaluation'!$A$46:$F$120,3,0),""))&amp;""</f>
        <v/>
      </c>
      <c r="L208" s="209" t="str">
        <f>IFERROR(VLOOKUP($I208,'Institution Evaluation'!$A$55:$F$345,4,0),IFERROR(VLOOKUP($I208,'Privacy Analyst Evaluation'!$A$46:$F$120,4,0),""))&amp;""</f>
        <v/>
      </c>
      <c r="M208" s="209" t="str">
        <f>IFERROR(VLOOKUP($I208,'Institution Evaluation'!$A$55:$F$345,6,0),IFERROR(VLOOKUP($I208,'Privacy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2">
      <c r="A209" s="209" t="str">
        <f>IFERROR(IF($A208+1&gt;'(backend scoring)'!$T$335,"",$A208+1),"")</f>
        <v/>
      </c>
      <c r="B209" s="209" t="str">
        <f>_xlfn.XLOOKUP($A209,'(backend scoring)'!$V$2:$V$333,'(backend scoring)'!$A$2:$A$333,"")</f>
        <v/>
      </c>
      <c r="C209" s="209" t="str">
        <f>IFERROR(VLOOKUP($B209,'Institution Evaluation'!$A$55:$F$345,2,0),IFERROR(VLOOKUP($B209,'Privacy Analyst Evaluation'!$A$46:$F$120,2,0),""))&amp;""</f>
        <v/>
      </c>
      <c r="D209" s="209" t="str">
        <f>IFERROR(VLOOKUP($B209,'Institution Evaluation'!$A$55:$F$345,3,0),IFERROR(VLOOKUP($B209,'Privacy Analyst Evaluation'!$A$46:$F$120,3,0),""))&amp;""</f>
        <v/>
      </c>
      <c r="E209" s="209" t="str">
        <f>IFERROR(VLOOKUP($B209,'Institution Evaluation'!$A$55:$F$345,4,0),IFERROR(VLOOKUP($B209,'Privacy Analyst Evaluation'!$A$46:$F$120,4,0),""))&amp;""</f>
        <v/>
      </c>
      <c r="F209" s="209" t="str">
        <f>IFERROR(VLOOKUP($B209,'Institution Evaluation'!$A$55:$F$345,6,0),IFERROR(VLOOKUP($B209,'Privacy Analyst Evaluation'!$A$46:$F$120,6,0),""))&amp;""</f>
        <v/>
      </c>
      <c r="G209" s="210"/>
      <c r="H209" s="209" t="str">
        <f>IFERROR(IF($H208+1&gt;'(backend scoring)'!$Q$335,"",$H208+1),"")</f>
        <v/>
      </c>
      <c r="I209" s="209" t="str">
        <f>_xlfn.XLOOKUP($H209,'(backend scoring)'!$S$2:$S$333,'(backend scoring)'!$A$2:$A$333,"")</f>
        <v/>
      </c>
      <c r="J209" s="209" t="str">
        <f>IFERROR(VLOOKUP($I209,'Institution Evaluation'!$A$55:$F$345,2,0),IFERROR(VLOOKUP($I209,'Privacy Analyst Evaluation'!$A$46:$F$120,2,0),""))</f>
        <v/>
      </c>
      <c r="K209" s="209" t="str">
        <f>IFERROR(VLOOKUP($I209,'Institution Evaluation'!$A$55:$F$345,3,0),IFERROR(VLOOKUP($I209,'Privacy Analyst Evaluation'!$A$46:$F$120,3,0),""))&amp;""</f>
        <v/>
      </c>
      <c r="L209" s="209" t="str">
        <f>IFERROR(VLOOKUP($I209,'Institution Evaluation'!$A$55:$F$345,4,0),IFERROR(VLOOKUP($I209,'Privacy Analyst Evaluation'!$A$46:$F$120,4,0),""))&amp;""</f>
        <v/>
      </c>
      <c r="M209" s="209" t="str">
        <f>IFERROR(VLOOKUP($I209,'Institution Evaluation'!$A$55:$F$345,6,0),IFERROR(VLOOKUP($I209,'Privacy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2">
      <c r="A210" s="209" t="str">
        <f>IFERROR(IF($A209+1&gt;'(backend scoring)'!$T$335,"",$A209+1),"")</f>
        <v/>
      </c>
      <c r="B210" s="209" t="str">
        <f>_xlfn.XLOOKUP($A210,'(backend scoring)'!$V$2:$V$333,'(backend scoring)'!$A$2:$A$333,"")</f>
        <v/>
      </c>
      <c r="C210" s="209" t="str">
        <f>IFERROR(VLOOKUP($B210,'Institution Evaluation'!$A$55:$F$345,2,0),IFERROR(VLOOKUP($B210,'Privacy Analyst Evaluation'!$A$46:$F$120,2,0),""))&amp;""</f>
        <v/>
      </c>
      <c r="D210" s="209" t="str">
        <f>IFERROR(VLOOKUP($B210,'Institution Evaluation'!$A$55:$F$345,3,0),IFERROR(VLOOKUP($B210,'Privacy Analyst Evaluation'!$A$46:$F$120,3,0),""))&amp;""</f>
        <v/>
      </c>
      <c r="E210" s="209" t="str">
        <f>IFERROR(VLOOKUP($B210,'Institution Evaluation'!$A$55:$F$345,4,0),IFERROR(VLOOKUP($B210,'Privacy Analyst Evaluation'!$A$46:$F$120,4,0),""))&amp;""</f>
        <v/>
      </c>
      <c r="F210" s="209" t="str">
        <f>IFERROR(VLOOKUP($B210,'Institution Evaluation'!$A$55:$F$345,6,0),IFERROR(VLOOKUP($B210,'Privacy Analyst Evaluation'!$A$46:$F$120,6,0),""))&amp;""</f>
        <v/>
      </c>
      <c r="G210" s="210"/>
      <c r="H210" s="209" t="str">
        <f>IFERROR(IF($H209+1&gt;'(backend scoring)'!$Q$335,"",$H209+1),"")</f>
        <v/>
      </c>
      <c r="I210" s="209" t="str">
        <f>_xlfn.XLOOKUP($H210,'(backend scoring)'!$S$2:$S$333,'(backend scoring)'!$A$2:$A$333,"")</f>
        <v/>
      </c>
      <c r="J210" s="209" t="str">
        <f>IFERROR(VLOOKUP($I210,'Institution Evaluation'!$A$55:$F$345,2,0),IFERROR(VLOOKUP($I210,'Privacy Analyst Evaluation'!$A$46:$F$120,2,0),""))</f>
        <v/>
      </c>
      <c r="K210" s="209" t="str">
        <f>IFERROR(VLOOKUP($I210,'Institution Evaluation'!$A$55:$F$345,3,0),IFERROR(VLOOKUP($I210,'Privacy Analyst Evaluation'!$A$46:$F$120,3,0),""))&amp;""</f>
        <v/>
      </c>
      <c r="L210" s="209" t="str">
        <f>IFERROR(VLOOKUP($I210,'Institution Evaluation'!$A$55:$F$345,4,0),IFERROR(VLOOKUP($I210,'Privacy Analyst Evaluation'!$A$46:$F$120,4,0),""))&amp;""</f>
        <v/>
      </c>
      <c r="M210" s="209" t="str">
        <f>IFERROR(VLOOKUP($I210,'Institution Evaluation'!$A$55:$F$345,6,0),IFERROR(VLOOKUP($I210,'Privacy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2">
      <c r="A211" s="209" t="str">
        <f>IFERROR(IF($A210+1&gt;'(backend scoring)'!$T$335,"",$A210+1),"")</f>
        <v/>
      </c>
      <c r="B211" s="209" t="str">
        <f>_xlfn.XLOOKUP($A211,'(backend scoring)'!$V$2:$V$333,'(backend scoring)'!$A$2:$A$333,"")</f>
        <v/>
      </c>
      <c r="C211" s="209" t="str">
        <f>IFERROR(VLOOKUP($B211,'Institution Evaluation'!$A$55:$F$345,2,0),IFERROR(VLOOKUP($B211,'Privacy Analyst Evaluation'!$A$46:$F$120,2,0),""))&amp;""</f>
        <v/>
      </c>
      <c r="D211" s="209" t="str">
        <f>IFERROR(VLOOKUP($B211,'Institution Evaluation'!$A$55:$F$345,3,0),IFERROR(VLOOKUP($B211,'Privacy Analyst Evaluation'!$A$46:$F$120,3,0),""))&amp;""</f>
        <v/>
      </c>
      <c r="E211" s="209" t="str">
        <f>IFERROR(VLOOKUP($B211,'Institution Evaluation'!$A$55:$F$345,4,0),IFERROR(VLOOKUP($B211,'Privacy Analyst Evaluation'!$A$46:$F$120,4,0),""))&amp;""</f>
        <v/>
      </c>
      <c r="F211" s="209" t="str">
        <f>IFERROR(VLOOKUP($B211,'Institution Evaluation'!$A$55:$F$345,6,0),IFERROR(VLOOKUP($B211,'Privacy Analyst Evaluation'!$A$46:$F$120,6,0),""))&amp;""</f>
        <v/>
      </c>
      <c r="G211" s="210"/>
      <c r="H211" s="209" t="str">
        <f>IFERROR(IF($H210+1&gt;'(backend scoring)'!$Q$335,"",$H210+1),"")</f>
        <v/>
      </c>
      <c r="I211" s="209" t="str">
        <f>_xlfn.XLOOKUP($H211,'(backend scoring)'!$S$2:$S$333,'(backend scoring)'!$A$2:$A$333,"")</f>
        <v/>
      </c>
      <c r="J211" s="209" t="str">
        <f>IFERROR(VLOOKUP($I211,'Institution Evaluation'!$A$55:$F$345,2,0),IFERROR(VLOOKUP($I211,'Privacy Analyst Evaluation'!$A$46:$F$120,2,0),""))</f>
        <v/>
      </c>
      <c r="K211" s="209" t="str">
        <f>IFERROR(VLOOKUP($I211,'Institution Evaluation'!$A$55:$F$345,3,0),IFERROR(VLOOKUP($I211,'Privacy Analyst Evaluation'!$A$46:$F$120,3,0),""))&amp;""</f>
        <v/>
      </c>
      <c r="L211" s="209" t="str">
        <f>IFERROR(VLOOKUP($I211,'Institution Evaluation'!$A$55:$F$345,4,0),IFERROR(VLOOKUP($I211,'Privacy Analyst Evaluation'!$A$46:$F$120,4,0),""))&amp;""</f>
        <v/>
      </c>
      <c r="M211" s="209" t="str">
        <f>IFERROR(VLOOKUP($I211,'Institution Evaluation'!$A$55:$F$345,6,0),IFERROR(VLOOKUP($I211,'Privacy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2">
      <c r="A212" s="209" t="str">
        <f>IFERROR(IF($A211+1&gt;'(backend scoring)'!$T$335,"",$A211+1),"")</f>
        <v/>
      </c>
      <c r="B212" s="209" t="str">
        <f>_xlfn.XLOOKUP($A212,'(backend scoring)'!$V$2:$V$333,'(backend scoring)'!$A$2:$A$333,"")</f>
        <v/>
      </c>
      <c r="C212" s="209" t="str">
        <f>IFERROR(VLOOKUP($B212,'Institution Evaluation'!$A$55:$F$345,2,0),IFERROR(VLOOKUP($B212,'Privacy Analyst Evaluation'!$A$46:$F$120,2,0),""))&amp;""</f>
        <v/>
      </c>
      <c r="D212" s="209" t="str">
        <f>IFERROR(VLOOKUP($B212,'Institution Evaluation'!$A$55:$F$345,3,0),IFERROR(VLOOKUP($B212,'Privacy Analyst Evaluation'!$A$46:$F$120,3,0),""))&amp;""</f>
        <v/>
      </c>
      <c r="E212" s="209" t="str">
        <f>IFERROR(VLOOKUP($B212,'Institution Evaluation'!$A$55:$F$345,4,0),IFERROR(VLOOKUP($B212,'Privacy Analyst Evaluation'!$A$46:$F$120,4,0),""))&amp;""</f>
        <v/>
      </c>
      <c r="F212" s="209" t="str">
        <f>IFERROR(VLOOKUP($B212,'Institution Evaluation'!$A$55:$F$345,6,0),IFERROR(VLOOKUP($B212,'Privacy Analyst Evaluation'!$A$46:$F$120,6,0),""))&amp;""</f>
        <v/>
      </c>
      <c r="G212" s="210"/>
      <c r="H212" s="209" t="str">
        <f>IFERROR(IF($H211+1&gt;'(backend scoring)'!$Q$335,"",$H211+1),"")</f>
        <v/>
      </c>
      <c r="I212" s="209" t="str">
        <f>_xlfn.XLOOKUP($H212,'(backend scoring)'!$S$2:$S$333,'(backend scoring)'!$A$2:$A$333,"")</f>
        <v/>
      </c>
      <c r="J212" s="209" t="str">
        <f>IFERROR(VLOOKUP($I212,'Institution Evaluation'!$A$55:$F$345,2,0),IFERROR(VLOOKUP($I212,'Privacy Analyst Evaluation'!$A$46:$F$120,2,0),""))</f>
        <v/>
      </c>
      <c r="K212" s="209" t="str">
        <f>IFERROR(VLOOKUP($I212,'Institution Evaluation'!$A$55:$F$345,3,0),IFERROR(VLOOKUP($I212,'Privacy Analyst Evaluation'!$A$46:$F$120,3,0),""))&amp;""</f>
        <v/>
      </c>
      <c r="L212" s="209" t="str">
        <f>IFERROR(VLOOKUP($I212,'Institution Evaluation'!$A$55:$F$345,4,0),IFERROR(VLOOKUP($I212,'Privacy Analyst Evaluation'!$A$46:$F$120,4,0),""))&amp;""</f>
        <v/>
      </c>
      <c r="M212" s="209" t="str">
        <f>IFERROR(VLOOKUP($I212,'Institution Evaluation'!$A$55:$F$345,6,0),IFERROR(VLOOKUP($I212,'Privacy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2">
      <c r="A213" s="209" t="str">
        <f>IFERROR(IF($A212+1&gt;'(backend scoring)'!$T$335,"",$A212+1),"")</f>
        <v/>
      </c>
      <c r="B213" s="209" t="str">
        <f>_xlfn.XLOOKUP($A213,'(backend scoring)'!$V$2:$V$333,'(backend scoring)'!$A$2:$A$333,"")</f>
        <v/>
      </c>
      <c r="C213" s="209" t="str">
        <f>IFERROR(VLOOKUP($B213,'Institution Evaluation'!$A$55:$F$345,2,0),IFERROR(VLOOKUP($B213,'Privacy Analyst Evaluation'!$A$46:$F$120,2,0),""))&amp;""</f>
        <v/>
      </c>
      <c r="D213" s="209" t="str">
        <f>IFERROR(VLOOKUP($B213,'Institution Evaluation'!$A$55:$F$345,3,0),IFERROR(VLOOKUP($B213,'Privacy Analyst Evaluation'!$A$46:$F$120,3,0),""))&amp;""</f>
        <v/>
      </c>
      <c r="E213" s="209" t="str">
        <f>IFERROR(VLOOKUP($B213,'Institution Evaluation'!$A$55:$F$345,4,0),IFERROR(VLOOKUP($B213,'Privacy Analyst Evaluation'!$A$46:$F$120,4,0),""))&amp;""</f>
        <v/>
      </c>
      <c r="F213" s="209" t="str">
        <f>IFERROR(VLOOKUP($B213,'Institution Evaluation'!$A$55:$F$345,6,0),IFERROR(VLOOKUP($B213,'Privacy Analyst Evaluation'!$A$46:$F$120,6,0),""))&amp;""</f>
        <v/>
      </c>
      <c r="G213" s="210"/>
      <c r="H213" s="209" t="str">
        <f>IFERROR(IF($H212+1&gt;'(backend scoring)'!$Q$335,"",$H212+1),"")</f>
        <v/>
      </c>
      <c r="I213" s="209" t="str">
        <f>_xlfn.XLOOKUP($H213,'(backend scoring)'!$S$2:$S$333,'(backend scoring)'!$A$2:$A$333,"")</f>
        <v/>
      </c>
      <c r="J213" s="209" t="str">
        <f>IFERROR(VLOOKUP($I213,'Institution Evaluation'!$A$55:$F$345,2,0),IFERROR(VLOOKUP($I213,'Privacy Analyst Evaluation'!$A$46:$F$120,2,0),""))</f>
        <v/>
      </c>
      <c r="K213" s="209" t="str">
        <f>IFERROR(VLOOKUP($I213,'Institution Evaluation'!$A$55:$F$345,3,0),IFERROR(VLOOKUP($I213,'Privacy Analyst Evaluation'!$A$46:$F$120,3,0),""))&amp;""</f>
        <v/>
      </c>
      <c r="L213" s="209" t="str">
        <f>IFERROR(VLOOKUP($I213,'Institution Evaluation'!$A$55:$F$345,4,0),IFERROR(VLOOKUP($I213,'Privacy Analyst Evaluation'!$A$46:$F$120,4,0),""))&amp;""</f>
        <v/>
      </c>
      <c r="M213" s="209" t="str">
        <f>IFERROR(VLOOKUP($I213,'Institution Evaluation'!$A$55:$F$345,6,0),IFERROR(VLOOKUP($I213,'Privacy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2">
      <c r="A214" s="209" t="str">
        <f>IFERROR(IF($A213+1&gt;'(backend scoring)'!$T$335,"",$A213+1),"")</f>
        <v/>
      </c>
      <c r="B214" s="209" t="str">
        <f>_xlfn.XLOOKUP($A214,'(backend scoring)'!$V$2:$V$333,'(backend scoring)'!$A$2:$A$333,"")</f>
        <v/>
      </c>
      <c r="C214" s="209" t="str">
        <f>IFERROR(VLOOKUP($B214,'Institution Evaluation'!$A$55:$F$345,2,0),IFERROR(VLOOKUP($B214,'Privacy Analyst Evaluation'!$A$46:$F$120,2,0),""))&amp;""</f>
        <v/>
      </c>
      <c r="D214" s="209" t="str">
        <f>IFERROR(VLOOKUP($B214,'Institution Evaluation'!$A$55:$F$345,3,0),IFERROR(VLOOKUP($B214,'Privacy Analyst Evaluation'!$A$46:$F$120,3,0),""))&amp;""</f>
        <v/>
      </c>
      <c r="E214" s="209" t="str">
        <f>IFERROR(VLOOKUP($B214,'Institution Evaluation'!$A$55:$F$345,4,0),IFERROR(VLOOKUP($B214,'Privacy Analyst Evaluation'!$A$46:$F$120,4,0),""))&amp;""</f>
        <v/>
      </c>
      <c r="F214" s="209" t="str">
        <f>IFERROR(VLOOKUP($B214,'Institution Evaluation'!$A$55:$F$345,6,0),IFERROR(VLOOKUP($B214,'Privacy Analyst Evaluation'!$A$46:$F$120,6,0),""))&amp;""</f>
        <v/>
      </c>
      <c r="G214" s="210"/>
      <c r="H214" s="209" t="str">
        <f>IFERROR(IF($H213+1&gt;'(backend scoring)'!$Q$335,"",$H213+1),"")</f>
        <v/>
      </c>
      <c r="I214" s="209" t="str">
        <f>_xlfn.XLOOKUP($H214,'(backend scoring)'!$S$2:$S$333,'(backend scoring)'!$A$2:$A$333,"")</f>
        <v/>
      </c>
      <c r="J214" s="209" t="str">
        <f>IFERROR(VLOOKUP($I214,'Institution Evaluation'!$A$55:$F$345,2,0),IFERROR(VLOOKUP($I214,'Privacy Analyst Evaluation'!$A$46:$F$120,2,0),""))</f>
        <v/>
      </c>
      <c r="K214" s="209" t="str">
        <f>IFERROR(VLOOKUP($I214,'Institution Evaluation'!$A$55:$F$345,3,0),IFERROR(VLOOKUP($I214,'Privacy Analyst Evaluation'!$A$46:$F$120,3,0),""))&amp;""</f>
        <v/>
      </c>
      <c r="L214" s="209" t="str">
        <f>IFERROR(VLOOKUP($I214,'Institution Evaluation'!$A$55:$F$345,4,0),IFERROR(VLOOKUP($I214,'Privacy Analyst Evaluation'!$A$46:$F$120,4,0),""))&amp;""</f>
        <v/>
      </c>
      <c r="M214" s="209" t="str">
        <f>IFERROR(VLOOKUP($I214,'Institution Evaluation'!$A$55:$F$345,6,0),IFERROR(VLOOKUP($I214,'Privacy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2">
      <c r="A215" s="209" t="str">
        <f>IFERROR(IF($A214+1&gt;'(backend scoring)'!$T$335,"",$A214+1),"")</f>
        <v/>
      </c>
      <c r="B215" s="209" t="str">
        <f>_xlfn.XLOOKUP($A215,'(backend scoring)'!$V$2:$V$333,'(backend scoring)'!$A$2:$A$333,"")</f>
        <v/>
      </c>
      <c r="C215" s="209" t="str">
        <f>IFERROR(VLOOKUP($B215,'Institution Evaluation'!$A$55:$F$345,2,0),IFERROR(VLOOKUP($B215,'Privacy Analyst Evaluation'!$A$46:$F$120,2,0),""))&amp;""</f>
        <v/>
      </c>
      <c r="D215" s="209" t="str">
        <f>IFERROR(VLOOKUP($B215,'Institution Evaluation'!$A$55:$F$345,3,0),IFERROR(VLOOKUP($B215,'Privacy Analyst Evaluation'!$A$46:$F$120,3,0),""))&amp;""</f>
        <v/>
      </c>
      <c r="E215" s="209" t="str">
        <f>IFERROR(VLOOKUP($B215,'Institution Evaluation'!$A$55:$F$345,4,0),IFERROR(VLOOKUP($B215,'Privacy Analyst Evaluation'!$A$46:$F$120,4,0),""))&amp;""</f>
        <v/>
      </c>
      <c r="F215" s="209" t="str">
        <f>IFERROR(VLOOKUP($B215,'Institution Evaluation'!$A$55:$F$345,6,0),IFERROR(VLOOKUP($B215,'Privacy Analyst Evaluation'!$A$46:$F$120,6,0),""))&amp;""</f>
        <v/>
      </c>
      <c r="G215" s="210"/>
      <c r="H215" s="209" t="str">
        <f>IFERROR(IF($H214+1&gt;'(backend scoring)'!$Q$335,"",$H214+1),"")</f>
        <v/>
      </c>
      <c r="I215" s="209" t="str">
        <f>_xlfn.XLOOKUP($H215,'(backend scoring)'!$S$2:$S$333,'(backend scoring)'!$A$2:$A$333,"")</f>
        <v/>
      </c>
      <c r="J215" s="209" t="str">
        <f>IFERROR(VLOOKUP($I215,'Institution Evaluation'!$A$55:$F$345,2,0),IFERROR(VLOOKUP($I215,'Privacy Analyst Evaluation'!$A$46:$F$120,2,0),""))</f>
        <v/>
      </c>
      <c r="K215" s="209" t="str">
        <f>IFERROR(VLOOKUP($I215,'Institution Evaluation'!$A$55:$F$345,3,0),IFERROR(VLOOKUP($I215,'Privacy Analyst Evaluation'!$A$46:$F$120,3,0),""))&amp;""</f>
        <v/>
      </c>
      <c r="L215" s="209" t="str">
        <f>IFERROR(VLOOKUP($I215,'Institution Evaluation'!$A$55:$F$345,4,0),IFERROR(VLOOKUP($I215,'Privacy Analyst Evaluation'!$A$46:$F$120,4,0),""))&amp;""</f>
        <v/>
      </c>
      <c r="M215" s="209" t="str">
        <f>IFERROR(VLOOKUP($I215,'Institution Evaluation'!$A$55:$F$345,6,0),IFERROR(VLOOKUP($I215,'Privacy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2">
      <c r="A216" s="209" t="str">
        <f>IFERROR(IF($A215+1&gt;'(backend scoring)'!$T$335,"",$A215+1),"")</f>
        <v/>
      </c>
      <c r="B216" s="209" t="str">
        <f>_xlfn.XLOOKUP($A216,'(backend scoring)'!$V$2:$V$333,'(backend scoring)'!$A$2:$A$333,"")</f>
        <v/>
      </c>
      <c r="C216" s="209" t="str">
        <f>IFERROR(VLOOKUP($B216,'Institution Evaluation'!$A$55:$F$345,2,0),IFERROR(VLOOKUP($B216,'Privacy Analyst Evaluation'!$A$46:$F$120,2,0),""))&amp;""</f>
        <v/>
      </c>
      <c r="D216" s="209" t="str">
        <f>IFERROR(VLOOKUP($B216,'Institution Evaluation'!$A$55:$F$345,3,0),IFERROR(VLOOKUP($B216,'Privacy Analyst Evaluation'!$A$46:$F$120,3,0),""))&amp;""</f>
        <v/>
      </c>
      <c r="E216" s="209" t="str">
        <f>IFERROR(VLOOKUP($B216,'Institution Evaluation'!$A$55:$F$345,4,0),IFERROR(VLOOKUP($B216,'Privacy Analyst Evaluation'!$A$46:$F$120,4,0),""))&amp;""</f>
        <v/>
      </c>
      <c r="F216" s="209" t="str">
        <f>IFERROR(VLOOKUP($B216,'Institution Evaluation'!$A$55:$F$345,6,0),IFERROR(VLOOKUP($B216,'Privacy Analyst Evaluation'!$A$46:$F$120,6,0),""))&amp;""</f>
        <v/>
      </c>
      <c r="G216" s="210"/>
      <c r="H216" s="209" t="str">
        <f>IFERROR(IF($H215+1&gt;'(backend scoring)'!$Q$335,"",$H215+1),"")</f>
        <v/>
      </c>
      <c r="I216" s="209" t="str">
        <f>_xlfn.XLOOKUP($H216,'(backend scoring)'!$S$2:$S$333,'(backend scoring)'!$A$2:$A$333,"")</f>
        <v/>
      </c>
      <c r="J216" s="209" t="str">
        <f>IFERROR(VLOOKUP($I216,'Institution Evaluation'!$A$55:$F$345,2,0),IFERROR(VLOOKUP($I216,'Privacy Analyst Evaluation'!$A$46:$F$120,2,0),""))</f>
        <v/>
      </c>
      <c r="K216" s="209" t="str">
        <f>IFERROR(VLOOKUP($I216,'Institution Evaluation'!$A$55:$F$345,3,0),IFERROR(VLOOKUP($I216,'Privacy Analyst Evaluation'!$A$46:$F$120,3,0),""))&amp;""</f>
        <v/>
      </c>
      <c r="L216" s="209" t="str">
        <f>IFERROR(VLOOKUP($I216,'Institution Evaluation'!$A$55:$F$345,4,0),IFERROR(VLOOKUP($I216,'Privacy Analyst Evaluation'!$A$46:$F$120,4,0),""))&amp;""</f>
        <v/>
      </c>
      <c r="M216" s="209" t="str">
        <f>IFERROR(VLOOKUP($I216,'Institution Evaluation'!$A$55:$F$345,6,0),IFERROR(VLOOKUP($I216,'Privacy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2">
      <c r="A217" s="209" t="str">
        <f>IFERROR(IF($A216+1&gt;'(backend scoring)'!$T$335,"",$A216+1),"")</f>
        <v/>
      </c>
      <c r="B217" s="209" t="str">
        <f>_xlfn.XLOOKUP($A217,'(backend scoring)'!$V$2:$V$333,'(backend scoring)'!$A$2:$A$333,"")</f>
        <v/>
      </c>
      <c r="C217" s="209" t="str">
        <f>IFERROR(VLOOKUP($B217,'Institution Evaluation'!$A$55:$F$345,2,0),IFERROR(VLOOKUP($B217,'Privacy Analyst Evaluation'!$A$46:$F$120,2,0),""))&amp;""</f>
        <v/>
      </c>
      <c r="D217" s="209" t="str">
        <f>IFERROR(VLOOKUP($B217,'Institution Evaluation'!$A$55:$F$345,3,0),IFERROR(VLOOKUP($B217,'Privacy Analyst Evaluation'!$A$46:$F$120,3,0),""))&amp;""</f>
        <v/>
      </c>
      <c r="E217" s="209" t="str">
        <f>IFERROR(VLOOKUP($B217,'Institution Evaluation'!$A$55:$F$345,4,0),IFERROR(VLOOKUP($B217,'Privacy Analyst Evaluation'!$A$46:$F$120,4,0),""))&amp;""</f>
        <v/>
      </c>
      <c r="F217" s="209" t="str">
        <f>IFERROR(VLOOKUP($B217,'Institution Evaluation'!$A$55:$F$345,6,0),IFERROR(VLOOKUP($B217,'Privacy Analyst Evaluation'!$A$46:$F$120,6,0),""))&amp;""</f>
        <v/>
      </c>
      <c r="G217" s="210"/>
      <c r="H217" s="209" t="str">
        <f>IFERROR(IF($H216+1&gt;'(backend scoring)'!$Q$335,"",$H216+1),"")</f>
        <v/>
      </c>
      <c r="I217" s="209" t="str">
        <f>_xlfn.XLOOKUP($H217,'(backend scoring)'!$S$2:$S$333,'(backend scoring)'!$A$2:$A$333,"")</f>
        <v/>
      </c>
      <c r="J217" s="209" t="str">
        <f>IFERROR(VLOOKUP($I217,'Institution Evaluation'!$A$55:$F$345,2,0),IFERROR(VLOOKUP($I217,'Privacy Analyst Evaluation'!$A$46:$F$120,2,0),""))</f>
        <v/>
      </c>
      <c r="K217" s="209" t="str">
        <f>IFERROR(VLOOKUP($I217,'Institution Evaluation'!$A$55:$F$345,3,0),IFERROR(VLOOKUP($I217,'Privacy Analyst Evaluation'!$A$46:$F$120,3,0),""))&amp;""</f>
        <v/>
      </c>
      <c r="L217" s="209" t="str">
        <f>IFERROR(VLOOKUP($I217,'Institution Evaluation'!$A$55:$F$345,4,0),IFERROR(VLOOKUP($I217,'Privacy Analyst Evaluation'!$A$46:$F$120,4,0),""))&amp;""</f>
        <v/>
      </c>
      <c r="M217" s="209" t="str">
        <f>IFERROR(VLOOKUP($I217,'Institution Evaluation'!$A$55:$F$345,6,0),IFERROR(VLOOKUP($I217,'Privacy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2">
      <c r="A218" s="209" t="str">
        <f>IFERROR(IF($A217+1&gt;'(backend scoring)'!$T$335,"",$A217+1),"")</f>
        <v/>
      </c>
      <c r="B218" s="209" t="str">
        <f>_xlfn.XLOOKUP($A218,'(backend scoring)'!$V$2:$V$333,'(backend scoring)'!$A$2:$A$333,"")</f>
        <v/>
      </c>
      <c r="C218" s="209" t="str">
        <f>IFERROR(VLOOKUP($B218,'Institution Evaluation'!$A$55:$F$345,2,0),IFERROR(VLOOKUP($B218,'Privacy Analyst Evaluation'!$A$46:$F$120,2,0),""))&amp;""</f>
        <v/>
      </c>
      <c r="D218" s="209" t="str">
        <f>IFERROR(VLOOKUP($B218,'Institution Evaluation'!$A$55:$F$345,3,0),IFERROR(VLOOKUP($B218,'Privacy Analyst Evaluation'!$A$46:$F$120,3,0),""))&amp;""</f>
        <v/>
      </c>
      <c r="E218" s="209" t="str">
        <f>IFERROR(VLOOKUP($B218,'Institution Evaluation'!$A$55:$F$345,4,0),IFERROR(VLOOKUP($B218,'Privacy Analyst Evaluation'!$A$46:$F$120,4,0),""))&amp;""</f>
        <v/>
      </c>
      <c r="F218" s="209" t="str">
        <f>IFERROR(VLOOKUP($B218,'Institution Evaluation'!$A$55:$F$345,6,0),IFERROR(VLOOKUP($B218,'Privacy Analyst Evaluation'!$A$46:$F$120,6,0),""))&amp;""</f>
        <v/>
      </c>
      <c r="G218" s="210"/>
      <c r="H218" s="209" t="str">
        <f>IFERROR(IF($H217+1&gt;'(backend scoring)'!$Q$335,"",$H217+1),"")</f>
        <v/>
      </c>
      <c r="I218" s="209" t="str">
        <f>_xlfn.XLOOKUP($H218,'(backend scoring)'!$S$2:$S$333,'(backend scoring)'!$A$2:$A$333,"")</f>
        <v/>
      </c>
      <c r="J218" s="209" t="str">
        <f>IFERROR(VLOOKUP($I218,'Institution Evaluation'!$A$55:$F$345,2,0),IFERROR(VLOOKUP($I218,'Privacy Analyst Evaluation'!$A$46:$F$120,2,0),""))</f>
        <v/>
      </c>
      <c r="K218" s="209" t="str">
        <f>IFERROR(VLOOKUP($I218,'Institution Evaluation'!$A$55:$F$345,3,0),IFERROR(VLOOKUP($I218,'Privacy Analyst Evaluation'!$A$46:$F$120,3,0),""))&amp;""</f>
        <v/>
      </c>
      <c r="L218" s="209" t="str">
        <f>IFERROR(VLOOKUP($I218,'Institution Evaluation'!$A$55:$F$345,4,0),IFERROR(VLOOKUP($I218,'Privacy Analyst Evaluation'!$A$46:$F$120,4,0),""))&amp;""</f>
        <v/>
      </c>
      <c r="M218" s="209" t="str">
        <f>IFERROR(VLOOKUP($I218,'Institution Evaluation'!$A$55:$F$345,6,0),IFERROR(VLOOKUP($I218,'Privacy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2">
      <c r="A219" s="209" t="str">
        <f>IFERROR(IF($A218+1&gt;'(backend scoring)'!$T$335,"",$A218+1),"")</f>
        <v/>
      </c>
      <c r="B219" s="209" t="str">
        <f>_xlfn.XLOOKUP($A219,'(backend scoring)'!$V$2:$V$333,'(backend scoring)'!$A$2:$A$333,"")</f>
        <v/>
      </c>
      <c r="C219" s="209" t="str">
        <f>IFERROR(VLOOKUP($B219,'Institution Evaluation'!$A$55:$F$345,2,0),IFERROR(VLOOKUP($B219,'Privacy Analyst Evaluation'!$A$46:$F$120,2,0),""))&amp;""</f>
        <v/>
      </c>
      <c r="D219" s="209" t="str">
        <f>IFERROR(VLOOKUP($B219,'Institution Evaluation'!$A$55:$F$345,3,0),IFERROR(VLOOKUP($B219,'Privacy Analyst Evaluation'!$A$46:$F$120,3,0),""))&amp;""</f>
        <v/>
      </c>
      <c r="E219" s="209" t="str">
        <f>IFERROR(VLOOKUP($B219,'Institution Evaluation'!$A$55:$F$345,4,0),IFERROR(VLOOKUP($B219,'Privacy Analyst Evaluation'!$A$46:$F$120,4,0),""))&amp;""</f>
        <v/>
      </c>
      <c r="F219" s="209" t="str">
        <f>IFERROR(VLOOKUP($B219,'Institution Evaluation'!$A$55:$F$345,6,0),IFERROR(VLOOKUP($B219,'Privacy Analyst Evaluation'!$A$46:$F$120,6,0),""))&amp;""</f>
        <v/>
      </c>
      <c r="G219" s="210"/>
      <c r="H219" s="209" t="str">
        <f>IFERROR(IF($H218+1&gt;'(backend scoring)'!$Q$335,"",$H218+1),"")</f>
        <v/>
      </c>
      <c r="I219" s="209" t="str">
        <f>_xlfn.XLOOKUP($H219,'(backend scoring)'!$S$2:$S$333,'(backend scoring)'!$A$2:$A$333,"")</f>
        <v/>
      </c>
      <c r="J219" s="209" t="str">
        <f>IFERROR(VLOOKUP($I219,'Institution Evaluation'!$A$55:$F$345,2,0),IFERROR(VLOOKUP($I219,'Privacy Analyst Evaluation'!$A$46:$F$120,2,0),""))</f>
        <v/>
      </c>
      <c r="K219" s="209" t="str">
        <f>IFERROR(VLOOKUP($I219,'Institution Evaluation'!$A$55:$F$345,3,0),IFERROR(VLOOKUP($I219,'Privacy Analyst Evaluation'!$A$46:$F$120,3,0),""))&amp;""</f>
        <v/>
      </c>
      <c r="L219" s="209" t="str">
        <f>IFERROR(VLOOKUP($I219,'Institution Evaluation'!$A$55:$F$345,4,0),IFERROR(VLOOKUP($I219,'Privacy Analyst Evaluation'!$A$46:$F$120,4,0),""))&amp;""</f>
        <v/>
      </c>
      <c r="M219" s="209" t="str">
        <f>IFERROR(VLOOKUP($I219,'Institution Evaluation'!$A$55:$F$345,6,0),IFERROR(VLOOKUP($I219,'Privacy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2">
      <c r="A220" s="209" t="str">
        <f>IFERROR(IF($A219+1&gt;'(backend scoring)'!$T$335,"",$A219+1),"")</f>
        <v/>
      </c>
      <c r="B220" s="209" t="str">
        <f>_xlfn.XLOOKUP($A220,'(backend scoring)'!$V$2:$V$333,'(backend scoring)'!$A$2:$A$333,"")</f>
        <v/>
      </c>
      <c r="C220" s="209" t="str">
        <f>IFERROR(VLOOKUP($B220,'Institution Evaluation'!$A$55:$F$345,2,0),IFERROR(VLOOKUP($B220,'Privacy Analyst Evaluation'!$A$46:$F$120,2,0),""))&amp;""</f>
        <v/>
      </c>
      <c r="D220" s="209" t="str">
        <f>IFERROR(VLOOKUP($B220,'Institution Evaluation'!$A$55:$F$345,3,0),IFERROR(VLOOKUP($B220,'Privacy Analyst Evaluation'!$A$46:$F$120,3,0),""))&amp;""</f>
        <v/>
      </c>
      <c r="E220" s="209" t="str">
        <f>IFERROR(VLOOKUP($B220,'Institution Evaluation'!$A$55:$F$345,4,0),IFERROR(VLOOKUP($B220,'Privacy Analyst Evaluation'!$A$46:$F$120,4,0),""))&amp;""</f>
        <v/>
      </c>
      <c r="F220" s="209" t="str">
        <f>IFERROR(VLOOKUP($B220,'Institution Evaluation'!$A$55:$F$345,6,0),IFERROR(VLOOKUP($B220,'Privacy Analyst Evaluation'!$A$46:$F$120,6,0),""))&amp;""</f>
        <v/>
      </c>
      <c r="G220" s="210"/>
      <c r="H220" s="209" t="str">
        <f>IFERROR(IF($H219+1&gt;'(backend scoring)'!$Q$335,"",$H219+1),"")</f>
        <v/>
      </c>
      <c r="I220" s="209" t="str">
        <f>_xlfn.XLOOKUP($H220,'(backend scoring)'!$S$2:$S$333,'(backend scoring)'!$A$2:$A$333,"")</f>
        <v/>
      </c>
      <c r="J220" s="209" t="str">
        <f>IFERROR(VLOOKUP($I220,'Institution Evaluation'!$A$55:$F$345,2,0),IFERROR(VLOOKUP($I220,'Privacy Analyst Evaluation'!$A$46:$F$120,2,0),""))</f>
        <v/>
      </c>
      <c r="K220" s="209" t="str">
        <f>IFERROR(VLOOKUP($I220,'Institution Evaluation'!$A$55:$F$345,3,0),IFERROR(VLOOKUP($I220,'Privacy Analyst Evaluation'!$A$46:$F$120,3,0),""))&amp;""</f>
        <v/>
      </c>
      <c r="L220" s="209" t="str">
        <f>IFERROR(VLOOKUP($I220,'Institution Evaluation'!$A$55:$F$345,4,0),IFERROR(VLOOKUP($I220,'Privacy Analyst Evaluation'!$A$46:$F$120,4,0),""))&amp;""</f>
        <v/>
      </c>
      <c r="M220" s="209" t="str">
        <f>IFERROR(VLOOKUP($I220,'Institution Evaluation'!$A$55:$F$345,6,0),IFERROR(VLOOKUP($I220,'Privacy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2">
      <c r="A221" s="209" t="str">
        <f>IFERROR(IF($A220+1&gt;'(backend scoring)'!$T$335,"",$A220+1),"")</f>
        <v/>
      </c>
      <c r="B221" s="209" t="str">
        <f>_xlfn.XLOOKUP($A221,'(backend scoring)'!$V$2:$V$333,'(backend scoring)'!$A$2:$A$333,"")</f>
        <v/>
      </c>
      <c r="C221" s="209" t="str">
        <f>IFERROR(VLOOKUP($B221,'Institution Evaluation'!$A$55:$F$345,2,0),IFERROR(VLOOKUP($B221,'Privacy Analyst Evaluation'!$A$46:$F$120,2,0),""))&amp;""</f>
        <v/>
      </c>
      <c r="D221" s="209" t="str">
        <f>IFERROR(VLOOKUP($B221,'Institution Evaluation'!$A$55:$F$345,3,0),IFERROR(VLOOKUP($B221,'Privacy Analyst Evaluation'!$A$46:$F$120,3,0),""))&amp;""</f>
        <v/>
      </c>
      <c r="E221" s="209" t="str">
        <f>IFERROR(VLOOKUP($B221,'Institution Evaluation'!$A$55:$F$345,4,0),IFERROR(VLOOKUP($B221,'Privacy Analyst Evaluation'!$A$46:$F$120,4,0),""))&amp;""</f>
        <v/>
      </c>
      <c r="F221" s="209" t="str">
        <f>IFERROR(VLOOKUP($B221,'Institution Evaluation'!$A$55:$F$345,6,0),IFERROR(VLOOKUP($B221,'Privacy Analyst Evaluation'!$A$46:$F$120,6,0),""))&amp;""</f>
        <v/>
      </c>
      <c r="G221" s="210"/>
      <c r="H221" s="209" t="str">
        <f>IFERROR(IF($H220+1&gt;'(backend scoring)'!$Q$335,"",$H220+1),"")</f>
        <v/>
      </c>
      <c r="I221" s="209" t="str">
        <f>_xlfn.XLOOKUP($H221,'(backend scoring)'!$S$2:$S$333,'(backend scoring)'!$A$2:$A$333,"")</f>
        <v/>
      </c>
      <c r="J221" s="209" t="str">
        <f>IFERROR(VLOOKUP($I221,'Institution Evaluation'!$A$55:$F$345,2,0),IFERROR(VLOOKUP($I221,'Privacy Analyst Evaluation'!$A$46:$F$120,2,0),""))</f>
        <v/>
      </c>
      <c r="K221" s="209" t="str">
        <f>IFERROR(VLOOKUP($I221,'Institution Evaluation'!$A$55:$F$345,3,0),IFERROR(VLOOKUP($I221,'Privacy Analyst Evaluation'!$A$46:$F$120,3,0),""))&amp;""</f>
        <v/>
      </c>
      <c r="L221" s="209" t="str">
        <f>IFERROR(VLOOKUP($I221,'Institution Evaluation'!$A$55:$F$345,4,0),IFERROR(VLOOKUP($I221,'Privacy Analyst Evaluation'!$A$46:$F$120,4,0),""))&amp;""</f>
        <v/>
      </c>
      <c r="M221" s="209" t="str">
        <f>IFERROR(VLOOKUP($I221,'Institution Evaluation'!$A$55:$F$345,6,0),IFERROR(VLOOKUP($I221,'Privacy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2">
      <c r="A222" s="209" t="str">
        <f>IFERROR(IF($A221+1&gt;'(backend scoring)'!$T$335,"",$A221+1),"")</f>
        <v/>
      </c>
      <c r="B222" s="209" t="str">
        <f>_xlfn.XLOOKUP($A222,'(backend scoring)'!$V$2:$V$333,'(backend scoring)'!$A$2:$A$333,"")</f>
        <v/>
      </c>
      <c r="C222" s="209" t="str">
        <f>IFERROR(VLOOKUP($B222,'Institution Evaluation'!$A$55:$F$345,2,0),IFERROR(VLOOKUP($B222,'Privacy Analyst Evaluation'!$A$46:$F$120,2,0),""))&amp;""</f>
        <v/>
      </c>
      <c r="D222" s="209" t="str">
        <f>IFERROR(VLOOKUP($B222,'Institution Evaluation'!$A$55:$F$345,3,0),IFERROR(VLOOKUP($B222,'Privacy Analyst Evaluation'!$A$46:$F$120,3,0),""))&amp;""</f>
        <v/>
      </c>
      <c r="E222" s="209" t="str">
        <f>IFERROR(VLOOKUP($B222,'Institution Evaluation'!$A$55:$F$345,4,0),IFERROR(VLOOKUP($B222,'Privacy Analyst Evaluation'!$A$46:$F$120,4,0),""))&amp;""</f>
        <v/>
      </c>
      <c r="F222" s="209" t="str">
        <f>IFERROR(VLOOKUP($B222,'Institution Evaluation'!$A$55:$F$345,6,0),IFERROR(VLOOKUP($B222,'Privacy Analyst Evaluation'!$A$46:$F$120,6,0),""))&amp;""</f>
        <v/>
      </c>
      <c r="G222" s="210"/>
      <c r="H222" s="209" t="str">
        <f>IFERROR(IF($H221+1&gt;'(backend scoring)'!$Q$335,"",$H221+1),"")</f>
        <v/>
      </c>
      <c r="I222" s="209" t="str">
        <f>_xlfn.XLOOKUP($H222,'(backend scoring)'!$S$2:$S$333,'(backend scoring)'!$A$2:$A$333,"")</f>
        <v/>
      </c>
      <c r="J222" s="209" t="str">
        <f>IFERROR(VLOOKUP($I222,'Institution Evaluation'!$A$55:$F$345,2,0),IFERROR(VLOOKUP($I222,'Privacy Analyst Evaluation'!$A$46:$F$120,2,0),""))</f>
        <v/>
      </c>
      <c r="K222" s="209" t="str">
        <f>IFERROR(VLOOKUP($I222,'Institution Evaluation'!$A$55:$F$345,3,0),IFERROR(VLOOKUP($I222,'Privacy Analyst Evaluation'!$A$46:$F$120,3,0),""))&amp;""</f>
        <v/>
      </c>
      <c r="L222" s="209" t="str">
        <f>IFERROR(VLOOKUP($I222,'Institution Evaluation'!$A$55:$F$345,4,0),IFERROR(VLOOKUP($I222,'Privacy Analyst Evaluation'!$A$46:$F$120,4,0),""))&amp;""</f>
        <v/>
      </c>
      <c r="M222" s="209" t="str">
        <f>IFERROR(VLOOKUP($I222,'Institution Evaluation'!$A$55:$F$345,6,0),IFERROR(VLOOKUP($I222,'Privacy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2">
      <c r="A223" s="209" t="str">
        <f>IFERROR(IF($A222+1&gt;'(backend scoring)'!$T$335,"",$A222+1),"")</f>
        <v/>
      </c>
      <c r="B223" s="209" t="str">
        <f>_xlfn.XLOOKUP($A223,'(backend scoring)'!$V$2:$V$333,'(backend scoring)'!$A$2:$A$333,"")</f>
        <v/>
      </c>
      <c r="C223" s="209" t="str">
        <f>IFERROR(VLOOKUP($B223,'Institution Evaluation'!$A$55:$F$345,2,0),IFERROR(VLOOKUP($B223,'Privacy Analyst Evaluation'!$A$46:$F$120,2,0),""))&amp;""</f>
        <v/>
      </c>
      <c r="D223" s="209" t="str">
        <f>IFERROR(VLOOKUP($B223,'Institution Evaluation'!$A$55:$F$345,3,0),IFERROR(VLOOKUP($B223,'Privacy Analyst Evaluation'!$A$46:$F$120,3,0),""))&amp;""</f>
        <v/>
      </c>
      <c r="E223" s="209" t="str">
        <f>IFERROR(VLOOKUP($B223,'Institution Evaluation'!$A$55:$F$345,4,0),IFERROR(VLOOKUP($B223,'Privacy Analyst Evaluation'!$A$46:$F$120,4,0),""))&amp;""</f>
        <v/>
      </c>
      <c r="F223" s="209" t="str">
        <f>IFERROR(VLOOKUP($B223,'Institution Evaluation'!$A$55:$F$345,6,0),IFERROR(VLOOKUP($B223,'Privacy Analyst Evaluation'!$A$46:$F$120,6,0),""))&amp;""</f>
        <v/>
      </c>
      <c r="G223" s="210"/>
      <c r="H223" s="209" t="str">
        <f>IFERROR(IF($H222+1&gt;'(backend scoring)'!$Q$335,"",$H222+1),"")</f>
        <v/>
      </c>
      <c r="I223" s="209" t="str">
        <f>_xlfn.XLOOKUP($H223,'(backend scoring)'!$S$2:$S$333,'(backend scoring)'!$A$2:$A$333,"")</f>
        <v/>
      </c>
      <c r="J223" s="209" t="str">
        <f>IFERROR(VLOOKUP($I223,'Institution Evaluation'!$A$55:$F$345,2,0),IFERROR(VLOOKUP($I223,'Privacy Analyst Evaluation'!$A$46:$F$120,2,0),""))</f>
        <v/>
      </c>
      <c r="K223" s="209" t="str">
        <f>IFERROR(VLOOKUP($I223,'Institution Evaluation'!$A$55:$F$345,3,0),IFERROR(VLOOKUP($I223,'Privacy Analyst Evaluation'!$A$46:$F$120,3,0),""))&amp;""</f>
        <v/>
      </c>
      <c r="L223" s="209" t="str">
        <f>IFERROR(VLOOKUP($I223,'Institution Evaluation'!$A$55:$F$345,4,0),IFERROR(VLOOKUP($I223,'Privacy Analyst Evaluation'!$A$46:$F$120,4,0),""))&amp;""</f>
        <v/>
      </c>
      <c r="M223" s="209" t="str">
        <f>IFERROR(VLOOKUP($I223,'Institution Evaluation'!$A$55:$F$345,6,0),IFERROR(VLOOKUP($I223,'Privacy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2">
      <c r="A224" s="209" t="str">
        <f>IFERROR(IF($A223+1&gt;'(backend scoring)'!$T$335,"",$A223+1),"")</f>
        <v/>
      </c>
      <c r="B224" s="209" t="str">
        <f>_xlfn.XLOOKUP($A224,'(backend scoring)'!$V$2:$V$333,'(backend scoring)'!$A$2:$A$333,"")</f>
        <v/>
      </c>
      <c r="C224" s="209" t="str">
        <f>IFERROR(VLOOKUP($B224,'Institution Evaluation'!$A$55:$F$345,2,0),IFERROR(VLOOKUP($B224,'Privacy Analyst Evaluation'!$A$46:$F$120,2,0),""))&amp;""</f>
        <v/>
      </c>
      <c r="D224" s="209" t="str">
        <f>IFERROR(VLOOKUP($B224,'Institution Evaluation'!$A$55:$F$345,3,0),IFERROR(VLOOKUP($B224,'Privacy Analyst Evaluation'!$A$46:$F$120,3,0),""))&amp;""</f>
        <v/>
      </c>
      <c r="E224" s="209" t="str">
        <f>IFERROR(VLOOKUP($B224,'Institution Evaluation'!$A$55:$F$345,4,0),IFERROR(VLOOKUP($B224,'Privacy Analyst Evaluation'!$A$46:$F$120,4,0),""))&amp;""</f>
        <v/>
      </c>
      <c r="F224" s="209" t="str">
        <f>IFERROR(VLOOKUP($B224,'Institution Evaluation'!$A$55:$F$345,6,0),IFERROR(VLOOKUP($B224,'Privacy Analyst Evaluation'!$A$46:$F$120,6,0),""))&amp;""</f>
        <v/>
      </c>
      <c r="G224" s="210"/>
      <c r="H224" s="209" t="str">
        <f>IFERROR(IF($H223+1&gt;'(backend scoring)'!$Q$335,"",$H223+1),"")</f>
        <v/>
      </c>
      <c r="I224" s="209" t="str">
        <f>_xlfn.XLOOKUP($H224,'(backend scoring)'!$S$2:$S$333,'(backend scoring)'!$A$2:$A$333,"")</f>
        <v/>
      </c>
      <c r="J224" s="209" t="str">
        <f>IFERROR(VLOOKUP($I224,'Institution Evaluation'!$A$55:$F$345,2,0),IFERROR(VLOOKUP($I224,'Privacy Analyst Evaluation'!$A$46:$F$120,2,0),""))</f>
        <v/>
      </c>
      <c r="K224" s="209" t="str">
        <f>IFERROR(VLOOKUP($I224,'Institution Evaluation'!$A$55:$F$345,3,0),IFERROR(VLOOKUP($I224,'Privacy Analyst Evaluation'!$A$46:$F$120,3,0),""))&amp;""</f>
        <v/>
      </c>
      <c r="L224" s="209" t="str">
        <f>IFERROR(VLOOKUP($I224,'Institution Evaluation'!$A$55:$F$345,4,0),IFERROR(VLOOKUP($I224,'Privacy Analyst Evaluation'!$A$46:$F$120,4,0),""))&amp;""</f>
        <v/>
      </c>
      <c r="M224" s="209" t="str">
        <f>IFERROR(VLOOKUP($I224,'Institution Evaluation'!$A$55:$F$345,6,0),IFERROR(VLOOKUP($I224,'Privacy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2">
      <c r="A225" s="209" t="str">
        <f>IFERROR(IF($A224+1&gt;'(backend scoring)'!$T$335,"",$A224+1),"")</f>
        <v/>
      </c>
      <c r="B225" s="209" t="str">
        <f>_xlfn.XLOOKUP($A225,'(backend scoring)'!$V$2:$V$333,'(backend scoring)'!$A$2:$A$333,"")</f>
        <v/>
      </c>
      <c r="C225" s="209" t="str">
        <f>IFERROR(VLOOKUP($B225,'Institution Evaluation'!$A$55:$F$345,2,0),IFERROR(VLOOKUP($B225,'Privacy Analyst Evaluation'!$A$46:$F$120,2,0),""))&amp;""</f>
        <v/>
      </c>
      <c r="D225" s="209" t="str">
        <f>IFERROR(VLOOKUP($B225,'Institution Evaluation'!$A$55:$F$345,3,0),IFERROR(VLOOKUP($B225,'Privacy Analyst Evaluation'!$A$46:$F$120,3,0),""))&amp;""</f>
        <v/>
      </c>
      <c r="E225" s="209" t="str">
        <f>IFERROR(VLOOKUP($B225,'Institution Evaluation'!$A$55:$F$345,4,0),IFERROR(VLOOKUP($B225,'Privacy Analyst Evaluation'!$A$46:$F$120,4,0),""))&amp;""</f>
        <v/>
      </c>
      <c r="F225" s="209" t="str">
        <f>IFERROR(VLOOKUP($B225,'Institution Evaluation'!$A$55:$F$345,6,0),IFERROR(VLOOKUP($B225,'Privacy Analyst Evaluation'!$A$46:$F$120,6,0),""))&amp;""</f>
        <v/>
      </c>
      <c r="G225" s="210"/>
      <c r="H225" s="209" t="str">
        <f>IFERROR(IF($H224+1&gt;'(backend scoring)'!$Q$335,"",$H224+1),"")</f>
        <v/>
      </c>
      <c r="I225" s="209" t="str">
        <f>_xlfn.XLOOKUP($H225,'(backend scoring)'!$S$2:$S$333,'(backend scoring)'!$A$2:$A$333,"")</f>
        <v/>
      </c>
      <c r="J225" s="209" t="str">
        <f>IFERROR(VLOOKUP($I225,'Institution Evaluation'!$A$55:$F$345,2,0),IFERROR(VLOOKUP($I225,'Privacy Analyst Evaluation'!$A$46:$F$120,2,0),""))</f>
        <v/>
      </c>
      <c r="K225" s="209" t="str">
        <f>IFERROR(VLOOKUP($I225,'Institution Evaluation'!$A$55:$F$345,3,0),IFERROR(VLOOKUP($I225,'Privacy Analyst Evaluation'!$A$46:$F$120,3,0),""))&amp;""</f>
        <v/>
      </c>
      <c r="L225" s="209" t="str">
        <f>IFERROR(VLOOKUP($I225,'Institution Evaluation'!$A$55:$F$345,4,0),IFERROR(VLOOKUP($I225,'Privacy Analyst Evaluation'!$A$46:$F$120,4,0),""))&amp;""</f>
        <v/>
      </c>
      <c r="M225" s="209" t="str">
        <f>IFERROR(VLOOKUP($I225,'Institution Evaluation'!$A$55:$F$345,6,0),IFERROR(VLOOKUP($I225,'Privacy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2">
      <c r="A226" s="209" t="str">
        <f>IFERROR(IF($A225+1&gt;'(backend scoring)'!$T$335,"",$A225+1),"")</f>
        <v/>
      </c>
      <c r="B226" s="209" t="str">
        <f>_xlfn.XLOOKUP($A226,'(backend scoring)'!$V$2:$V$333,'(backend scoring)'!$A$2:$A$333,"")</f>
        <v/>
      </c>
      <c r="C226" s="209" t="str">
        <f>IFERROR(VLOOKUP($B226,'Institution Evaluation'!$A$55:$F$345,2,0),IFERROR(VLOOKUP($B226,'Privacy Analyst Evaluation'!$A$46:$F$120,2,0),""))&amp;""</f>
        <v/>
      </c>
      <c r="D226" s="209" t="str">
        <f>IFERROR(VLOOKUP($B226,'Institution Evaluation'!$A$55:$F$345,3,0),IFERROR(VLOOKUP($B226,'Privacy Analyst Evaluation'!$A$46:$F$120,3,0),""))&amp;""</f>
        <v/>
      </c>
      <c r="E226" s="209" t="str">
        <f>IFERROR(VLOOKUP($B226,'Institution Evaluation'!$A$55:$F$345,4,0),IFERROR(VLOOKUP($B226,'Privacy Analyst Evaluation'!$A$46:$F$120,4,0),""))&amp;""</f>
        <v/>
      </c>
      <c r="F226" s="209" t="str">
        <f>IFERROR(VLOOKUP($B226,'Institution Evaluation'!$A$55:$F$345,6,0),IFERROR(VLOOKUP($B226,'Privacy Analyst Evaluation'!$A$46:$F$120,6,0),""))&amp;""</f>
        <v/>
      </c>
      <c r="G226" s="210"/>
      <c r="H226" s="209" t="str">
        <f>IFERROR(IF($H225+1&gt;'(backend scoring)'!$Q$335,"",$H225+1),"")</f>
        <v/>
      </c>
      <c r="I226" s="209" t="str">
        <f>_xlfn.XLOOKUP($H226,'(backend scoring)'!$S$2:$S$333,'(backend scoring)'!$A$2:$A$333,"")</f>
        <v/>
      </c>
      <c r="J226" s="209" t="str">
        <f>IFERROR(VLOOKUP($I226,'Institution Evaluation'!$A$55:$F$345,2,0),IFERROR(VLOOKUP($I226,'Privacy Analyst Evaluation'!$A$46:$F$120,2,0),""))</f>
        <v/>
      </c>
      <c r="K226" s="209" t="str">
        <f>IFERROR(VLOOKUP($I226,'Institution Evaluation'!$A$55:$F$345,3,0),IFERROR(VLOOKUP($I226,'Privacy Analyst Evaluation'!$A$46:$F$120,3,0),""))&amp;""</f>
        <v/>
      </c>
      <c r="L226" s="209" t="str">
        <f>IFERROR(VLOOKUP($I226,'Institution Evaluation'!$A$55:$F$345,4,0),IFERROR(VLOOKUP($I226,'Privacy Analyst Evaluation'!$A$46:$F$120,4,0),""))&amp;""</f>
        <v/>
      </c>
      <c r="M226" s="209" t="str">
        <f>IFERROR(VLOOKUP($I226,'Institution Evaluation'!$A$55:$F$345,6,0),IFERROR(VLOOKUP($I226,'Privacy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2">
      <c r="A227" s="209" t="str">
        <f>IFERROR(IF($A226+1&gt;'(backend scoring)'!$T$335,"",$A226+1),"")</f>
        <v/>
      </c>
      <c r="B227" s="209" t="str">
        <f>_xlfn.XLOOKUP($A227,'(backend scoring)'!$V$2:$V$333,'(backend scoring)'!$A$2:$A$333,"")</f>
        <v/>
      </c>
      <c r="C227" s="209" t="str">
        <f>IFERROR(VLOOKUP($B227,'Institution Evaluation'!$A$55:$F$345,2,0),IFERROR(VLOOKUP($B227,'Privacy Analyst Evaluation'!$A$46:$F$120,2,0),""))&amp;""</f>
        <v/>
      </c>
      <c r="D227" s="209" t="str">
        <f>IFERROR(VLOOKUP($B227,'Institution Evaluation'!$A$55:$F$345,3,0),IFERROR(VLOOKUP($B227,'Privacy Analyst Evaluation'!$A$46:$F$120,3,0),""))&amp;""</f>
        <v/>
      </c>
      <c r="E227" s="209" t="str">
        <f>IFERROR(VLOOKUP($B227,'Institution Evaluation'!$A$55:$F$345,4,0),IFERROR(VLOOKUP($B227,'Privacy Analyst Evaluation'!$A$46:$F$120,4,0),""))&amp;""</f>
        <v/>
      </c>
      <c r="F227" s="209" t="str">
        <f>IFERROR(VLOOKUP($B227,'Institution Evaluation'!$A$55:$F$345,6,0),IFERROR(VLOOKUP($B227,'Privacy Analyst Evaluation'!$A$46:$F$120,6,0),""))&amp;""</f>
        <v/>
      </c>
      <c r="G227" s="210"/>
      <c r="H227" s="209" t="str">
        <f>IFERROR(IF($H226+1&gt;'(backend scoring)'!$Q$335,"",$H226+1),"")</f>
        <v/>
      </c>
      <c r="I227" s="209" t="str">
        <f>_xlfn.XLOOKUP($H227,'(backend scoring)'!$S$2:$S$333,'(backend scoring)'!$A$2:$A$333,"")</f>
        <v/>
      </c>
      <c r="J227" s="209" t="str">
        <f>IFERROR(VLOOKUP($I227,'Institution Evaluation'!$A$55:$F$345,2,0),IFERROR(VLOOKUP($I227,'Privacy Analyst Evaluation'!$A$46:$F$120,2,0),""))</f>
        <v/>
      </c>
      <c r="K227" s="209" t="str">
        <f>IFERROR(VLOOKUP($I227,'Institution Evaluation'!$A$55:$F$345,3,0),IFERROR(VLOOKUP($I227,'Privacy Analyst Evaluation'!$A$46:$F$120,3,0),""))&amp;""</f>
        <v/>
      </c>
      <c r="L227" s="209" t="str">
        <f>IFERROR(VLOOKUP($I227,'Institution Evaluation'!$A$55:$F$345,4,0),IFERROR(VLOOKUP($I227,'Privacy Analyst Evaluation'!$A$46:$F$120,4,0),""))&amp;""</f>
        <v/>
      </c>
      <c r="M227" s="209" t="str">
        <f>IFERROR(VLOOKUP($I227,'Institution Evaluation'!$A$55:$F$345,6,0),IFERROR(VLOOKUP($I227,'Privacy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2">
      <c r="A228" s="209" t="str">
        <f>IFERROR(IF($A227+1&gt;'(backend scoring)'!$T$335,"",$A227+1),"")</f>
        <v/>
      </c>
      <c r="B228" s="209" t="str">
        <f>_xlfn.XLOOKUP($A228,'(backend scoring)'!$V$2:$V$333,'(backend scoring)'!$A$2:$A$333,"")</f>
        <v/>
      </c>
      <c r="C228" s="209" t="str">
        <f>IFERROR(VLOOKUP($B228,'Institution Evaluation'!$A$55:$F$345,2,0),IFERROR(VLOOKUP($B228,'Privacy Analyst Evaluation'!$A$46:$F$120,2,0),""))&amp;""</f>
        <v/>
      </c>
      <c r="D228" s="209" t="str">
        <f>IFERROR(VLOOKUP($B228,'Institution Evaluation'!$A$55:$F$345,3,0),IFERROR(VLOOKUP($B228,'Privacy Analyst Evaluation'!$A$46:$F$120,3,0),""))&amp;""</f>
        <v/>
      </c>
      <c r="E228" s="209" t="str">
        <f>IFERROR(VLOOKUP($B228,'Institution Evaluation'!$A$55:$F$345,4,0),IFERROR(VLOOKUP($B228,'Privacy Analyst Evaluation'!$A$46:$F$120,4,0),""))&amp;""</f>
        <v/>
      </c>
      <c r="F228" s="209" t="str">
        <f>IFERROR(VLOOKUP($B228,'Institution Evaluation'!$A$55:$F$345,6,0),IFERROR(VLOOKUP($B228,'Privacy Analyst Evaluation'!$A$46:$F$120,6,0),""))&amp;""</f>
        <v/>
      </c>
      <c r="G228" s="210"/>
      <c r="H228" s="209" t="str">
        <f>IFERROR(IF($H227+1&gt;'(backend scoring)'!$Q$335,"",$H227+1),"")</f>
        <v/>
      </c>
      <c r="I228" s="209" t="str">
        <f>_xlfn.XLOOKUP($H228,'(backend scoring)'!$S$2:$S$333,'(backend scoring)'!$A$2:$A$333,"")</f>
        <v/>
      </c>
      <c r="J228" s="209" t="str">
        <f>IFERROR(VLOOKUP($I228,'Institution Evaluation'!$A$55:$F$345,2,0),IFERROR(VLOOKUP($I228,'Privacy Analyst Evaluation'!$A$46:$F$120,2,0),""))</f>
        <v/>
      </c>
      <c r="K228" s="209" t="str">
        <f>IFERROR(VLOOKUP($I228,'Institution Evaluation'!$A$55:$F$345,3,0),IFERROR(VLOOKUP($I228,'Privacy Analyst Evaluation'!$A$46:$F$120,3,0),""))&amp;""</f>
        <v/>
      </c>
      <c r="L228" s="209" t="str">
        <f>IFERROR(VLOOKUP($I228,'Institution Evaluation'!$A$55:$F$345,4,0),IFERROR(VLOOKUP($I228,'Privacy Analyst Evaluation'!$A$46:$F$120,4,0),""))&amp;""</f>
        <v/>
      </c>
      <c r="M228" s="209" t="str">
        <f>IFERROR(VLOOKUP($I228,'Institution Evaluation'!$A$55:$F$345,6,0),IFERROR(VLOOKUP($I228,'Privacy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2">
      <c r="A229" s="209" t="str">
        <f>IFERROR(IF($A228+1&gt;'(backend scoring)'!$T$335,"",$A228+1),"")</f>
        <v/>
      </c>
      <c r="B229" s="209" t="str">
        <f>_xlfn.XLOOKUP($A229,'(backend scoring)'!$V$2:$V$333,'(backend scoring)'!$A$2:$A$333,"")</f>
        <v/>
      </c>
      <c r="C229" s="209" t="str">
        <f>IFERROR(VLOOKUP($B229,'Institution Evaluation'!$A$55:$F$345,2,0),IFERROR(VLOOKUP($B229,'Privacy Analyst Evaluation'!$A$46:$F$120,2,0),""))&amp;""</f>
        <v/>
      </c>
      <c r="D229" s="209" t="str">
        <f>IFERROR(VLOOKUP($B229,'Institution Evaluation'!$A$55:$F$345,3,0),IFERROR(VLOOKUP($B229,'Privacy Analyst Evaluation'!$A$46:$F$120,3,0),""))&amp;""</f>
        <v/>
      </c>
      <c r="E229" s="209" t="str">
        <f>IFERROR(VLOOKUP($B229,'Institution Evaluation'!$A$55:$F$345,4,0),IFERROR(VLOOKUP($B229,'Privacy Analyst Evaluation'!$A$46:$F$120,4,0),""))&amp;""</f>
        <v/>
      </c>
      <c r="F229" s="209" t="str">
        <f>IFERROR(VLOOKUP($B229,'Institution Evaluation'!$A$55:$F$345,6,0),IFERROR(VLOOKUP($B229,'Privacy Analyst Evaluation'!$A$46:$F$120,6,0),""))&amp;""</f>
        <v/>
      </c>
      <c r="G229" s="210"/>
      <c r="H229" s="209" t="str">
        <f>IFERROR(IF($H228+1&gt;'(backend scoring)'!$Q$335,"",$H228+1),"")</f>
        <v/>
      </c>
      <c r="I229" s="209" t="str">
        <f>_xlfn.XLOOKUP($H229,'(backend scoring)'!$S$2:$S$333,'(backend scoring)'!$A$2:$A$333,"")</f>
        <v/>
      </c>
      <c r="J229" s="209" t="str">
        <f>IFERROR(VLOOKUP($I229,'Institution Evaluation'!$A$55:$F$345,2,0),IFERROR(VLOOKUP($I229,'Privacy Analyst Evaluation'!$A$46:$F$120,2,0),""))</f>
        <v/>
      </c>
      <c r="K229" s="209" t="str">
        <f>IFERROR(VLOOKUP($I229,'Institution Evaluation'!$A$55:$F$345,3,0),IFERROR(VLOOKUP($I229,'Privacy Analyst Evaluation'!$A$46:$F$120,3,0),""))&amp;""</f>
        <v/>
      </c>
      <c r="L229" s="209" t="str">
        <f>IFERROR(VLOOKUP($I229,'Institution Evaluation'!$A$55:$F$345,4,0),IFERROR(VLOOKUP($I229,'Privacy Analyst Evaluation'!$A$46:$F$120,4,0),""))&amp;""</f>
        <v/>
      </c>
      <c r="M229" s="209" t="str">
        <f>IFERROR(VLOOKUP($I229,'Institution Evaluation'!$A$55:$F$345,6,0),IFERROR(VLOOKUP($I229,'Privacy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2">
      <c r="A230" s="209" t="str">
        <f>IFERROR(IF($A229+1&gt;'(backend scoring)'!$T$335,"",$A229+1),"")</f>
        <v/>
      </c>
      <c r="B230" s="209" t="str">
        <f>_xlfn.XLOOKUP($A230,'(backend scoring)'!$V$2:$V$333,'(backend scoring)'!$A$2:$A$333,"")</f>
        <v/>
      </c>
      <c r="C230" s="209" t="str">
        <f>IFERROR(VLOOKUP($B230,'Institution Evaluation'!$A$55:$F$345,2,0),IFERROR(VLOOKUP($B230,'Privacy Analyst Evaluation'!$A$46:$F$120,2,0),""))&amp;""</f>
        <v/>
      </c>
      <c r="D230" s="209" t="str">
        <f>IFERROR(VLOOKUP($B230,'Institution Evaluation'!$A$55:$F$345,3,0),IFERROR(VLOOKUP($B230,'Privacy Analyst Evaluation'!$A$46:$F$120,3,0),""))&amp;""</f>
        <v/>
      </c>
      <c r="E230" s="209" t="str">
        <f>IFERROR(VLOOKUP($B230,'Institution Evaluation'!$A$55:$F$345,4,0),IFERROR(VLOOKUP($B230,'Privacy Analyst Evaluation'!$A$46:$F$120,4,0),""))&amp;""</f>
        <v/>
      </c>
      <c r="F230" s="209" t="str">
        <f>IFERROR(VLOOKUP($B230,'Institution Evaluation'!$A$55:$F$345,6,0),IFERROR(VLOOKUP($B230,'Privacy Analyst Evaluation'!$A$46:$F$120,6,0),""))&amp;""</f>
        <v/>
      </c>
      <c r="G230" s="210"/>
      <c r="H230" s="209" t="str">
        <f>IFERROR(IF($H229+1&gt;'(backend scoring)'!$Q$335,"",$H229+1),"")</f>
        <v/>
      </c>
      <c r="I230" s="209" t="str">
        <f>_xlfn.XLOOKUP($H230,'(backend scoring)'!$S$2:$S$333,'(backend scoring)'!$A$2:$A$333,"")</f>
        <v/>
      </c>
      <c r="J230" s="209" t="str">
        <f>IFERROR(VLOOKUP($I230,'Institution Evaluation'!$A$55:$F$345,2,0),IFERROR(VLOOKUP($I230,'Privacy Analyst Evaluation'!$A$46:$F$120,2,0),""))</f>
        <v/>
      </c>
      <c r="K230" s="209" t="str">
        <f>IFERROR(VLOOKUP($I230,'Institution Evaluation'!$A$55:$F$345,3,0),IFERROR(VLOOKUP($I230,'Privacy Analyst Evaluation'!$A$46:$F$120,3,0),""))&amp;""</f>
        <v/>
      </c>
      <c r="L230" s="209" t="str">
        <f>IFERROR(VLOOKUP($I230,'Institution Evaluation'!$A$55:$F$345,4,0),IFERROR(VLOOKUP($I230,'Privacy Analyst Evaluation'!$A$46:$F$120,4,0),""))&amp;""</f>
        <v/>
      </c>
      <c r="M230" s="209" t="str">
        <f>IFERROR(VLOOKUP($I230,'Institution Evaluation'!$A$55:$F$345,6,0),IFERROR(VLOOKUP($I230,'Privacy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2">
      <c r="A231" s="209" t="str">
        <f>IFERROR(IF($A230+1&gt;'(backend scoring)'!$T$335,"",$A230+1),"")</f>
        <v/>
      </c>
      <c r="B231" s="209" t="str">
        <f>_xlfn.XLOOKUP($A231,'(backend scoring)'!$V$2:$V$333,'(backend scoring)'!$A$2:$A$333,"")</f>
        <v/>
      </c>
      <c r="C231" s="209" t="str">
        <f>IFERROR(VLOOKUP($B231,'Institution Evaluation'!$A$55:$F$345,2,0),IFERROR(VLOOKUP($B231,'Privacy Analyst Evaluation'!$A$46:$F$120,2,0),""))&amp;""</f>
        <v/>
      </c>
      <c r="D231" s="209" t="str">
        <f>IFERROR(VLOOKUP($B231,'Institution Evaluation'!$A$55:$F$345,3,0),IFERROR(VLOOKUP($B231,'Privacy Analyst Evaluation'!$A$46:$F$120,3,0),""))&amp;""</f>
        <v/>
      </c>
      <c r="E231" s="209" t="str">
        <f>IFERROR(VLOOKUP($B231,'Institution Evaluation'!$A$55:$F$345,4,0),IFERROR(VLOOKUP($B231,'Privacy Analyst Evaluation'!$A$46:$F$120,4,0),""))&amp;""</f>
        <v/>
      </c>
      <c r="F231" s="209" t="str">
        <f>IFERROR(VLOOKUP($B231,'Institution Evaluation'!$A$55:$F$345,6,0),IFERROR(VLOOKUP($B231,'Privacy Analyst Evaluation'!$A$46:$F$120,6,0),""))&amp;""</f>
        <v/>
      </c>
      <c r="G231" s="210"/>
      <c r="H231" s="209" t="str">
        <f>IFERROR(IF($H230+1&gt;'(backend scoring)'!$Q$335,"",$H230+1),"")</f>
        <v/>
      </c>
      <c r="I231" s="209" t="str">
        <f>_xlfn.XLOOKUP($H231,'(backend scoring)'!$S$2:$S$333,'(backend scoring)'!$A$2:$A$333,"")</f>
        <v/>
      </c>
      <c r="J231" s="209" t="str">
        <f>IFERROR(VLOOKUP($I231,'Institution Evaluation'!$A$55:$F$345,2,0),IFERROR(VLOOKUP($I231,'Privacy Analyst Evaluation'!$A$46:$F$120,2,0),""))</f>
        <v/>
      </c>
      <c r="K231" s="209" t="str">
        <f>IFERROR(VLOOKUP($I231,'Institution Evaluation'!$A$55:$F$345,3,0),IFERROR(VLOOKUP($I231,'Privacy Analyst Evaluation'!$A$46:$F$120,3,0),""))&amp;""</f>
        <v/>
      </c>
      <c r="L231" s="209" t="str">
        <f>IFERROR(VLOOKUP($I231,'Institution Evaluation'!$A$55:$F$345,4,0),IFERROR(VLOOKUP($I231,'Privacy Analyst Evaluation'!$A$46:$F$120,4,0),""))&amp;""</f>
        <v/>
      </c>
      <c r="M231" s="209" t="str">
        <f>IFERROR(VLOOKUP($I231,'Institution Evaluation'!$A$55:$F$345,6,0),IFERROR(VLOOKUP($I231,'Privacy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2">
      <c r="A232" s="209" t="str">
        <f>IFERROR(IF($A231+1&gt;'(backend scoring)'!$T$335,"",$A231+1),"")</f>
        <v/>
      </c>
      <c r="B232" s="209" t="str">
        <f>_xlfn.XLOOKUP($A232,'(backend scoring)'!$V$2:$V$333,'(backend scoring)'!$A$2:$A$333,"")</f>
        <v/>
      </c>
      <c r="C232" s="209" t="str">
        <f>IFERROR(VLOOKUP($B232,'Institution Evaluation'!$A$55:$F$345,2,0),IFERROR(VLOOKUP($B232,'Privacy Analyst Evaluation'!$A$46:$F$120,2,0),""))&amp;""</f>
        <v/>
      </c>
      <c r="D232" s="209" t="str">
        <f>IFERROR(VLOOKUP($B232,'Institution Evaluation'!$A$55:$F$345,3,0),IFERROR(VLOOKUP($B232,'Privacy Analyst Evaluation'!$A$46:$F$120,3,0),""))&amp;""</f>
        <v/>
      </c>
      <c r="E232" s="209" t="str">
        <f>IFERROR(VLOOKUP($B232,'Institution Evaluation'!$A$55:$F$345,4,0),IFERROR(VLOOKUP($B232,'Privacy Analyst Evaluation'!$A$46:$F$120,4,0),""))&amp;""</f>
        <v/>
      </c>
      <c r="F232" s="209" t="str">
        <f>IFERROR(VLOOKUP($B232,'Institution Evaluation'!$A$55:$F$345,6,0),IFERROR(VLOOKUP($B232,'Privacy Analyst Evaluation'!$A$46:$F$120,6,0),""))&amp;""</f>
        <v/>
      </c>
      <c r="G232" s="210"/>
      <c r="H232" s="209" t="str">
        <f>IFERROR(IF($H231+1&gt;'(backend scoring)'!$Q$335,"",$H231+1),"")</f>
        <v/>
      </c>
      <c r="I232" s="209" t="str">
        <f>_xlfn.XLOOKUP($H232,'(backend scoring)'!$S$2:$S$333,'(backend scoring)'!$A$2:$A$333,"")</f>
        <v/>
      </c>
      <c r="J232" s="209" t="str">
        <f>IFERROR(VLOOKUP($I232,'Institution Evaluation'!$A$55:$F$345,2,0),IFERROR(VLOOKUP($I232,'Privacy Analyst Evaluation'!$A$46:$F$120,2,0),""))</f>
        <v/>
      </c>
      <c r="K232" s="209" t="str">
        <f>IFERROR(VLOOKUP($I232,'Institution Evaluation'!$A$55:$F$345,3,0),IFERROR(VLOOKUP($I232,'Privacy Analyst Evaluation'!$A$46:$F$120,3,0),""))&amp;""</f>
        <v/>
      </c>
      <c r="L232" s="209" t="str">
        <f>IFERROR(VLOOKUP($I232,'Institution Evaluation'!$A$55:$F$345,4,0),IFERROR(VLOOKUP($I232,'Privacy Analyst Evaluation'!$A$46:$F$120,4,0),""))&amp;""</f>
        <v/>
      </c>
      <c r="M232" s="209" t="str">
        <f>IFERROR(VLOOKUP($I232,'Institution Evaluation'!$A$55:$F$345,6,0),IFERROR(VLOOKUP($I232,'Privacy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2">
      <c r="A233" s="209" t="str">
        <f>IFERROR(IF($A232+1&gt;'(backend scoring)'!$T$335,"",$A232+1),"")</f>
        <v/>
      </c>
      <c r="B233" s="209" t="str">
        <f>_xlfn.XLOOKUP($A233,'(backend scoring)'!$V$2:$V$333,'(backend scoring)'!$A$2:$A$333,"")</f>
        <v/>
      </c>
      <c r="C233" s="209" t="str">
        <f>IFERROR(VLOOKUP($B233,'Institution Evaluation'!$A$55:$F$345,2,0),IFERROR(VLOOKUP($B233,'Privacy Analyst Evaluation'!$A$46:$F$120,2,0),""))&amp;""</f>
        <v/>
      </c>
      <c r="D233" s="209" t="str">
        <f>IFERROR(VLOOKUP($B233,'Institution Evaluation'!$A$55:$F$345,3,0),IFERROR(VLOOKUP($B233,'Privacy Analyst Evaluation'!$A$46:$F$120,3,0),""))&amp;""</f>
        <v/>
      </c>
      <c r="E233" s="209" t="str">
        <f>IFERROR(VLOOKUP($B233,'Institution Evaluation'!$A$55:$F$345,4,0),IFERROR(VLOOKUP($B233,'Privacy Analyst Evaluation'!$A$46:$F$120,4,0),""))&amp;""</f>
        <v/>
      </c>
      <c r="F233" s="209" t="str">
        <f>IFERROR(VLOOKUP($B233,'Institution Evaluation'!$A$55:$F$345,6,0),IFERROR(VLOOKUP($B233,'Privacy Analyst Evaluation'!$A$46:$F$120,6,0),""))&amp;""</f>
        <v/>
      </c>
      <c r="G233" s="210"/>
      <c r="H233" s="209" t="str">
        <f>IFERROR(IF($H232+1&gt;'(backend scoring)'!$Q$335,"",$H232+1),"")</f>
        <v/>
      </c>
      <c r="I233" s="209" t="str">
        <f>_xlfn.XLOOKUP($H233,'(backend scoring)'!$S$2:$S$333,'(backend scoring)'!$A$2:$A$333,"")</f>
        <v/>
      </c>
      <c r="J233" s="209" t="str">
        <f>IFERROR(VLOOKUP($I233,'Institution Evaluation'!$A$55:$F$345,2,0),IFERROR(VLOOKUP($I233,'Privacy Analyst Evaluation'!$A$46:$F$120,2,0),""))</f>
        <v/>
      </c>
      <c r="K233" s="209" t="str">
        <f>IFERROR(VLOOKUP($I233,'Institution Evaluation'!$A$55:$F$345,3,0),IFERROR(VLOOKUP($I233,'Privacy Analyst Evaluation'!$A$46:$F$120,3,0),""))&amp;""</f>
        <v/>
      </c>
      <c r="L233" s="209" t="str">
        <f>IFERROR(VLOOKUP($I233,'Institution Evaluation'!$A$55:$F$345,4,0),IFERROR(VLOOKUP($I233,'Privacy Analyst Evaluation'!$A$46:$F$120,4,0),""))&amp;""</f>
        <v/>
      </c>
      <c r="M233" s="209" t="str">
        <f>IFERROR(VLOOKUP($I233,'Institution Evaluation'!$A$55:$F$345,6,0),IFERROR(VLOOKUP($I233,'Privacy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2">
      <c r="A234" s="209" t="str">
        <f>IFERROR(IF($A233+1&gt;'(backend scoring)'!$T$335,"",$A233+1),"")</f>
        <v/>
      </c>
      <c r="B234" s="209" t="str">
        <f>_xlfn.XLOOKUP($A234,'(backend scoring)'!$V$2:$V$333,'(backend scoring)'!$A$2:$A$333,"")</f>
        <v/>
      </c>
      <c r="C234" s="209" t="str">
        <f>IFERROR(VLOOKUP($B234,'Institution Evaluation'!$A$55:$F$345,2,0),IFERROR(VLOOKUP($B234,'Privacy Analyst Evaluation'!$A$46:$F$120,2,0),""))&amp;""</f>
        <v/>
      </c>
      <c r="D234" s="209" t="str">
        <f>IFERROR(VLOOKUP($B234,'Institution Evaluation'!$A$55:$F$345,3,0),IFERROR(VLOOKUP($B234,'Privacy Analyst Evaluation'!$A$46:$F$120,3,0),""))&amp;""</f>
        <v/>
      </c>
      <c r="E234" s="209" t="str">
        <f>IFERROR(VLOOKUP($B234,'Institution Evaluation'!$A$55:$F$345,4,0),IFERROR(VLOOKUP($B234,'Privacy Analyst Evaluation'!$A$46:$F$120,4,0),""))&amp;""</f>
        <v/>
      </c>
      <c r="F234" s="209" t="str">
        <f>IFERROR(VLOOKUP($B234,'Institution Evaluation'!$A$55:$F$345,6,0),IFERROR(VLOOKUP($B234,'Privacy Analyst Evaluation'!$A$46:$F$120,6,0),""))&amp;""</f>
        <v/>
      </c>
      <c r="G234" s="210"/>
      <c r="H234" s="209" t="str">
        <f>IFERROR(IF($H233+1&gt;'(backend scoring)'!$Q$335,"",$H233+1),"")</f>
        <v/>
      </c>
      <c r="I234" s="209" t="str">
        <f>_xlfn.XLOOKUP($H234,'(backend scoring)'!$S$2:$S$333,'(backend scoring)'!$A$2:$A$333,"")</f>
        <v/>
      </c>
      <c r="J234" s="209" t="str">
        <f>IFERROR(VLOOKUP($I234,'Institution Evaluation'!$A$55:$F$345,2,0),IFERROR(VLOOKUP($I234,'Privacy Analyst Evaluation'!$A$46:$F$120,2,0),""))</f>
        <v/>
      </c>
      <c r="K234" s="209" t="str">
        <f>IFERROR(VLOOKUP($I234,'Institution Evaluation'!$A$55:$F$345,3,0),IFERROR(VLOOKUP($I234,'Privacy Analyst Evaluation'!$A$46:$F$120,3,0),""))&amp;""</f>
        <v/>
      </c>
      <c r="L234" s="209" t="str">
        <f>IFERROR(VLOOKUP($I234,'Institution Evaluation'!$A$55:$F$345,4,0),IFERROR(VLOOKUP($I234,'Privacy Analyst Evaluation'!$A$46:$F$120,4,0),""))&amp;""</f>
        <v/>
      </c>
      <c r="M234" s="209" t="str">
        <f>IFERROR(VLOOKUP($I234,'Institution Evaluation'!$A$55:$F$345,6,0),IFERROR(VLOOKUP($I234,'Privacy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2">
      <c r="A235" s="209" t="str">
        <f>IFERROR(IF($A234+1&gt;'(backend scoring)'!$T$335,"",$A234+1),"")</f>
        <v/>
      </c>
      <c r="B235" s="209" t="str">
        <f>_xlfn.XLOOKUP($A235,'(backend scoring)'!$V$2:$V$333,'(backend scoring)'!$A$2:$A$333,"")</f>
        <v/>
      </c>
      <c r="C235" s="209" t="str">
        <f>IFERROR(VLOOKUP($B235,'Institution Evaluation'!$A$55:$F$345,2,0),IFERROR(VLOOKUP($B235,'Privacy Analyst Evaluation'!$A$46:$F$120,2,0),""))&amp;""</f>
        <v/>
      </c>
      <c r="D235" s="209" t="str">
        <f>IFERROR(VLOOKUP($B235,'Institution Evaluation'!$A$55:$F$345,3,0),IFERROR(VLOOKUP($B235,'Privacy Analyst Evaluation'!$A$46:$F$120,3,0),""))&amp;""</f>
        <v/>
      </c>
      <c r="E235" s="209" t="str">
        <f>IFERROR(VLOOKUP($B235,'Institution Evaluation'!$A$55:$F$345,4,0),IFERROR(VLOOKUP($B235,'Privacy Analyst Evaluation'!$A$46:$F$120,4,0),""))&amp;""</f>
        <v/>
      </c>
      <c r="F235" s="209" t="str">
        <f>IFERROR(VLOOKUP($B235,'Institution Evaluation'!$A$55:$F$345,6,0),IFERROR(VLOOKUP($B235,'Privacy Analyst Evaluation'!$A$46:$F$120,6,0),""))&amp;""</f>
        <v/>
      </c>
      <c r="G235" s="210"/>
      <c r="H235" s="209" t="str">
        <f>IFERROR(IF($H234+1&gt;'(backend scoring)'!$Q$335,"",$H234+1),"")</f>
        <v/>
      </c>
      <c r="I235" s="209" t="str">
        <f>_xlfn.XLOOKUP($H235,'(backend scoring)'!$S$2:$S$333,'(backend scoring)'!$A$2:$A$333,"")</f>
        <v/>
      </c>
      <c r="J235" s="209" t="str">
        <f>IFERROR(VLOOKUP($I235,'Institution Evaluation'!$A$55:$F$345,2,0),IFERROR(VLOOKUP($I235,'Privacy Analyst Evaluation'!$A$46:$F$120,2,0),""))</f>
        <v/>
      </c>
      <c r="K235" s="209" t="str">
        <f>IFERROR(VLOOKUP($I235,'Institution Evaluation'!$A$55:$F$345,3,0),IFERROR(VLOOKUP($I235,'Privacy Analyst Evaluation'!$A$46:$F$120,3,0),""))&amp;""</f>
        <v/>
      </c>
      <c r="L235" s="209" t="str">
        <f>IFERROR(VLOOKUP($I235,'Institution Evaluation'!$A$55:$F$345,4,0),IFERROR(VLOOKUP($I235,'Privacy Analyst Evaluation'!$A$46:$F$120,4,0),""))&amp;""</f>
        <v/>
      </c>
      <c r="M235" s="209" t="str">
        <f>IFERROR(VLOOKUP($I235,'Institution Evaluation'!$A$55:$F$345,6,0),IFERROR(VLOOKUP($I235,'Privacy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2">
      <c r="A236" s="209" t="str">
        <f>IFERROR(IF($A235+1&gt;'(backend scoring)'!$T$335,"",$A235+1),"")</f>
        <v/>
      </c>
      <c r="B236" s="209" t="str">
        <f>_xlfn.XLOOKUP($A236,'(backend scoring)'!$V$2:$V$333,'(backend scoring)'!$A$2:$A$333,"")</f>
        <v/>
      </c>
      <c r="C236" s="209" t="str">
        <f>IFERROR(VLOOKUP($B236,'Institution Evaluation'!$A$55:$F$345,2,0),IFERROR(VLOOKUP($B236,'Privacy Analyst Evaluation'!$A$46:$F$120,2,0),""))&amp;""</f>
        <v/>
      </c>
      <c r="D236" s="209" t="str">
        <f>IFERROR(VLOOKUP($B236,'Institution Evaluation'!$A$55:$F$345,3,0),IFERROR(VLOOKUP($B236,'Privacy Analyst Evaluation'!$A$46:$F$120,3,0),""))&amp;""</f>
        <v/>
      </c>
      <c r="E236" s="209" t="str">
        <f>IFERROR(VLOOKUP($B236,'Institution Evaluation'!$A$55:$F$345,4,0),IFERROR(VLOOKUP($B236,'Privacy Analyst Evaluation'!$A$46:$F$120,4,0),""))&amp;""</f>
        <v/>
      </c>
      <c r="F236" s="209" t="str">
        <f>IFERROR(VLOOKUP($B236,'Institution Evaluation'!$A$55:$F$345,6,0),IFERROR(VLOOKUP($B236,'Privacy Analyst Evaluation'!$A$46:$F$120,6,0),""))&amp;""</f>
        <v/>
      </c>
      <c r="G236" s="210"/>
      <c r="H236" s="209" t="str">
        <f>IFERROR(IF($H235+1&gt;'(backend scoring)'!$Q$335,"",$H235+1),"")</f>
        <v/>
      </c>
      <c r="I236" s="209" t="str">
        <f>_xlfn.XLOOKUP($H236,'(backend scoring)'!$S$2:$S$333,'(backend scoring)'!$A$2:$A$333,"")</f>
        <v/>
      </c>
      <c r="J236" s="209" t="str">
        <f>IFERROR(VLOOKUP($I236,'Institution Evaluation'!$A$55:$F$345,2,0),IFERROR(VLOOKUP($I236,'Privacy Analyst Evaluation'!$A$46:$F$120,2,0),""))</f>
        <v/>
      </c>
      <c r="K236" s="209" t="str">
        <f>IFERROR(VLOOKUP($I236,'Institution Evaluation'!$A$55:$F$345,3,0),IFERROR(VLOOKUP($I236,'Privacy Analyst Evaluation'!$A$46:$F$120,3,0),""))&amp;""</f>
        <v/>
      </c>
      <c r="L236" s="209" t="str">
        <f>IFERROR(VLOOKUP($I236,'Institution Evaluation'!$A$55:$F$345,4,0),IFERROR(VLOOKUP($I236,'Privacy Analyst Evaluation'!$A$46:$F$120,4,0),""))&amp;""</f>
        <v/>
      </c>
      <c r="M236" s="209" t="str">
        <f>IFERROR(VLOOKUP($I236,'Institution Evaluation'!$A$55:$F$345,6,0),IFERROR(VLOOKUP($I236,'Privacy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2">
      <c r="A237" s="209" t="str">
        <f>IFERROR(IF($A236+1&gt;'(backend scoring)'!$T$335,"",$A236+1),"")</f>
        <v/>
      </c>
      <c r="B237" s="209" t="str">
        <f>_xlfn.XLOOKUP($A237,'(backend scoring)'!$V$2:$V$333,'(backend scoring)'!$A$2:$A$333,"")</f>
        <v/>
      </c>
      <c r="C237" s="209" t="str">
        <f>IFERROR(VLOOKUP($B237,'Institution Evaluation'!$A$55:$F$345,2,0),IFERROR(VLOOKUP($B237,'Privacy Analyst Evaluation'!$A$46:$F$120,2,0),""))&amp;""</f>
        <v/>
      </c>
      <c r="D237" s="209" t="str">
        <f>IFERROR(VLOOKUP($B237,'Institution Evaluation'!$A$55:$F$345,3,0),IFERROR(VLOOKUP($B237,'Privacy Analyst Evaluation'!$A$46:$F$120,3,0),""))&amp;""</f>
        <v/>
      </c>
      <c r="E237" s="209" t="str">
        <f>IFERROR(VLOOKUP($B237,'Institution Evaluation'!$A$55:$F$345,4,0),IFERROR(VLOOKUP($B237,'Privacy Analyst Evaluation'!$A$46:$F$120,4,0),""))&amp;""</f>
        <v/>
      </c>
      <c r="F237" s="209" t="str">
        <f>IFERROR(VLOOKUP($B237,'Institution Evaluation'!$A$55:$F$345,6,0),IFERROR(VLOOKUP($B237,'Privacy Analyst Evaluation'!$A$46:$F$120,6,0),""))&amp;""</f>
        <v/>
      </c>
      <c r="G237" s="210"/>
      <c r="H237" s="209" t="str">
        <f>IFERROR(IF($H236+1&gt;'(backend scoring)'!$Q$335,"",$H236+1),"")</f>
        <v/>
      </c>
      <c r="I237" s="209" t="str">
        <f>_xlfn.XLOOKUP($H237,'(backend scoring)'!$S$2:$S$333,'(backend scoring)'!$A$2:$A$333,"")</f>
        <v/>
      </c>
      <c r="J237" s="209" t="str">
        <f>IFERROR(VLOOKUP($I237,'Institution Evaluation'!$A$55:$F$345,2,0),IFERROR(VLOOKUP($I237,'Privacy Analyst Evaluation'!$A$46:$F$120,2,0),""))</f>
        <v/>
      </c>
      <c r="K237" s="209" t="str">
        <f>IFERROR(VLOOKUP($I237,'Institution Evaluation'!$A$55:$F$345,3,0),IFERROR(VLOOKUP($I237,'Privacy Analyst Evaluation'!$A$46:$F$120,3,0),""))&amp;""</f>
        <v/>
      </c>
      <c r="L237" s="209" t="str">
        <f>IFERROR(VLOOKUP($I237,'Institution Evaluation'!$A$55:$F$345,4,0),IFERROR(VLOOKUP($I237,'Privacy Analyst Evaluation'!$A$46:$F$120,4,0),""))&amp;""</f>
        <v/>
      </c>
      <c r="M237" s="209" t="str">
        <f>IFERROR(VLOOKUP($I237,'Institution Evaluation'!$A$55:$F$345,6,0),IFERROR(VLOOKUP($I237,'Privacy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2">
      <c r="A238" s="209" t="str">
        <f>IFERROR(IF($A237+1&gt;'(backend scoring)'!$T$335,"",$A237+1),"")</f>
        <v/>
      </c>
      <c r="B238" s="209" t="str">
        <f>_xlfn.XLOOKUP($A238,'(backend scoring)'!$V$2:$V$333,'(backend scoring)'!$A$2:$A$333,"")</f>
        <v/>
      </c>
      <c r="C238" s="209" t="str">
        <f>IFERROR(VLOOKUP($B238,'Institution Evaluation'!$A$55:$F$345,2,0),IFERROR(VLOOKUP($B238,'Privacy Analyst Evaluation'!$A$46:$F$120,2,0),""))&amp;""</f>
        <v/>
      </c>
      <c r="D238" s="209" t="str">
        <f>IFERROR(VLOOKUP($B238,'Institution Evaluation'!$A$55:$F$345,3,0),IFERROR(VLOOKUP($B238,'Privacy Analyst Evaluation'!$A$46:$F$120,3,0),""))&amp;""</f>
        <v/>
      </c>
      <c r="E238" s="209" t="str">
        <f>IFERROR(VLOOKUP($B238,'Institution Evaluation'!$A$55:$F$345,4,0),IFERROR(VLOOKUP($B238,'Privacy Analyst Evaluation'!$A$46:$F$120,4,0),""))&amp;""</f>
        <v/>
      </c>
      <c r="F238" s="209" t="str">
        <f>IFERROR(VLOOKUP($B238,'Institution Evaluation'!$A$55:$F$345,6,0),IFERROR(VLOOKUP($B238,'Privacy Analyst Evaluation'!$A$46:$F$120,6,0),""))&amp;""</f>
        <v/>
      </c>
      <c r="G238" s="210"/>
      <c r="H238" s="209" t="str">
        <f>IFERROR(IF($H237+1&gt;'(backend scoring)'!$Q$335,"",$H237+1),"")</f>
        <v/>
      </c>
      <c r="I238" s="209" t="str">
        <f>_xlfn.XLOOKUP($H238,'(backend scoring)'!$S$2:$S$333,'(backend scoring)'!$A$2:$A$333,"")</f>
        <v/>
      </c>
      <c r="J238" s="209" t="str">
        <f>IFERROR(VLOOKUP($I238,'Institution Evaluation'!$A$55:$F$345,2,0),IFERROR(VLOOKUP($I238,'Privacy Analyst Evaluation'!$A$46:$F$120,2,0),""))</f>
        <v/>
      </c>
      <c r="K238" s="209" t="str">
        <f>IFERROR(VLOOKUP($I238,'Institution Evaluation'!$A$55:$F$345,3,0),IFERROR(VLOOKUP($I238,'Privacy Analyst Evaluation'!$A$46:$F$120,3,0),""))&amp;""</f>
        <v/>
      </c>
      <c r="L238" s="209" t="str">
        <f>IFERROR(VLOOKUP($I238,'Institution Evaluation'!$A$55:$F$345,4,0),IFERROR(VLOOKUP($I238,'Privacy Analyst Evaluation'!$A$46:$F$120,4,0),""))&amp;""</f>
        <v/>
      </c>
      <c r="M238" s="209" t="str">
        <f>IFERROR(VLOOKUP($I238,'Institution Evaluation'!$A$55:$F$345,6,0),IFERROR(VLOOKUP($I238,'Privacy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2">
      <c r="A239" s="209" t="str">
        <f>IFERROR(IF($A238+1&gt;'(backend scoring)'!$T$335,"",$A238+1),"")</f>
        <v/>
      </c>
      <c r="B239" s="209" t="str">
        <f>_xlfn.XLOOKUP($A239,'(backend scoring)'!$V$2:$V$333,'(backend scoring)'!$A$2:$A$333,"")</f>
        <v/>
      </c>
      <c r="C239" s="209" t="str">
        <f>IFERROR(VLOOKUP($B239,'Institution Evaluation'!$A$55:$F$345,2,0),IFERROR(VLOOKUP($B239,'Privacy Analyst Evaluation'!$A$46:$F$120,2,0),""))&amp;""</f>
        <v/>
      </c>
      <c r="D239" s="209" t="str">
        <f>IFERROR(VLOOKUP($B239,'Institution Evaluation'!$A$55:$F$345,3,0),IFERROR(VLOOKUP($B239,'Privacy Analyst Evaluation'!$A$46:$F$120,3,0),""))&amp;""</f>
        <v/>
      </c>
      <c r="E239" s="209" t="str">
        <f>IFERROR(VLOOKUP($B239,'Institution Evaluation'!$A$55:$F$345,4,0),IFERROR(VLOOKUP($B239,'Privacy Analyst Evaluation'!$A$46:$F$120,4,0),""))&amp;""</f>
        <v/>
      </c>
      <c r="F239" s="209" t="str">
        <f>IFERROR(VLOOKUP($B239,'Institution Evaluation'!$A$55:$F$345,6,0),IFERROR(VLOOKUP($B239,'Privacy Analyst Evaluation'!$A$46:$F$120,6,0),""))&amp;""</f>
        <v/>
      </c>
      <c r="G239" s="210"/>
      <c r="H239" s="209" t="str">
        <f>IFERROR(IF($H238+1&gt;'(backend scoring)'!$Q$335,"",$H238+1),"")</f>
        <v/>
      </c>
      <c r="I239" s="209" t="str">
        <f>_xlfn.XLOOKUP($H239,'(backend scoring)'!$S$2:$S$333,'(backend scoring)'!$A$2:$A$333,"")</f>
        <v/>
      </c>
      <c r="J239" s="209" t="str">
        <f>IFERROR(VLOOKUP($I239,'Institution Evaluation'!$A$55:$F$345,2,0),IFERROR(VLOOKUP($I239,'Privacy Analyst Evaluation'!$A$46:$F$120,2,0),""))</f>
        <v/>
      </c>
      <c r="K239" s="209" t="str">
        <f>IFERROR(VLOOKUP($I239,'Institution Evaluation'!$A$55:$F$345,3,0),IFERROR(VLOOKUP($I239,'Privacy Analyst Evaluation'!$A$46:$F$120,3,0),""))&amp;""</f>
        <v/>
      </c>
      <c r="L239" s="209" t="str">
        <f>IFERROR(VLOOKUP($I239,'Institution Evaluation'!$A$55:$F$345,4,0),IFERROR(VLOOKUP($I239,'Privacy Analyst Evaluation'!$A$46:$F$120,4,0),""))&amp;""</f>
        <v/>
      </c>
      <c r="M239" s="209" t="str">
        <f>IFERROR(VLOOKUP($I239,'Institution Evaluation'!$A$55:$F$345,6,0),IFERROR(VLOOKUP($I239,'Privacy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2">
      <c r="A240" s="209" t="str">
        <f>IFERROR(IF($A239+1&gt;'(backend scoring)'!$T$335,"",$A239+1),"")</f>
        <v/>
      </c>
      <c r="B240" s="209" t="str">
        <f>_xlfn.XLOOKUP($A240,'(backend scoring)'!$V$2:$V$333,'(backend scoring)'!$A$2:$A$333,"")</f>
        <v/>
      </c>
      <c r="C240" s="209" t="str">
        <f>IFERROR(VLOOKUP($B240,'Institution Evaluation'!$A$55:$F$345,2,0),IFERROR(VLOOKUP($B240,'Privacy Analyst Evaluation'!$A$46:$F$120,2,0),""))&amp;""</f>
        <v/>
      </c>
      <c r="D240" s="209" t="str">
        <f>IFERROR(VLOOKUP($B240,'Institution Evaluation'!$A$55:$F$345,3,0),IFERROR(VLOOKUP($B240,'Privacy Analyst Evaluation'!$A$46:$F$120,3,0),""))&amp;""</f>
        <v/>
      </c>
      <c r="E240" s="209" t="str">
        <f>IFERROR(VLOOKUP($B240,'Institution Evaluation'!$A$55:$F$345,4,0),IFERROR(VLOOKUP($B240,'Privacy Analyst Evaluation'!$A$46:$F$120,4,0),""))&amp;""</f>
        <v/>
      </c>
      <c r="F240" s="209" t="str">
        <f>IFERROR(VLOOKUP($B240,'Institution Evaluation'!$A$55:$F$345,6,0),IFERROR(VLOOKUP($B240,'Privacy Analyst Evaluation'!$A$46:$F$120,6,0),""))&amp;""</f>
        <v/>
      </c>
      <c r="G240" s="210"/>
      <c r="H240" s="209" t="str">
        <f>IFERROR(IF($H239+1&gt;'(backend scoring)'!$Q$335,"",$H239+1),"")</f>
        <v/>
      </c>
      <c r="I240" s="209" t="str">
        <f>_xlfn.XLOOKUP($H240,'(backend scoring)'!$S$2:$S$333,'(backend scoring)'!$A$2:$A$333,"")</f>
        <v/>
      </c>
      <c r="J240" s="209" t="str">
        <f>IFERROR(VLOOKUP($I240,'Institution Evaluation'!$A$55:$F$345,2,0),IFERROR(VLOOKUP($I240,'Privacy Analyst Evaluation'!$A$46:$F$120,2,0),""))</f>
        <v/>
      </c>
      <c r="K240" s="209" t="str">
        <f>IFERROR(VLOOKUP($I240,'Institution Evaluation'!$A$55:$F$345,3,0),IFERROR(VLOOKUP($I240,'Privacy Analyst Evaluation'!$A$46:$F$120,3,0),""))&amp;""</f>
        <v/>
      </c>
      <c r="L240" s="209" t="str">
        <f>IFERROR(VLOOKUP($I240,'Institution Evaluation'!$A$55:$F$345,4,0),IFERROR(VLOOKUP($I240,'Privacy Analyst Evaluation'!$A$46:$F$120,4,0),""))&amp;""</f>
        <v/>
      </c>
      <c r="M240" s="209" t="str">
        <f>IFERROR(VLOOKUP($I240,'Institution Evaluation'!$A$55:$F$345,6,0),IFERROR(VLOOKUP($I240,'Privacy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2">
      <c r="A241" s="209" t="str">
        <f>IFERROR(IF($A240+1&gt;'(backend scoring)'!$T$335,"",$A240+1),"")</f>
        <v/>
      </c>
      <c r="B241" s="209" t="str">
        <f>_xlfn.XLOOKUP($A241,'(backend scoring)'!$V$2:$V$333,'(backend scoring)'!$A$2:$A$333,"")</f>
        <v/>
      </c>
      <c r="C241" s="209" t="str">
        <f>IFERROR(VLOOKUP($B241,'Institution Evaluation'!$A$55:$F$345,2,0),IFERROR(VLOOKUP($B241,'Privacy Analyst Evaluation'!$A$46:$F$120,2,0),""))&amp;""</f>
        <v/>
      </c>
      <c r="D241" s="209" t="str">
        <f>IFERROR(VLOOKUP($B241,'Institution Evaluation'!$A$55:$F$345,3,0),IFERROR(VLOOKUP($B241,'Privacy Analyst Evaluation'!$A$46:$F$120,3,0),""))&amp;""</f>
        <v/>
      </c>
      <c r="E241" s="209" t="str">
        <f>IFERROR(VLOOKUP($B241,'Institution Evaluation'!$A$55:$F$345,4,0),IFERROR(VLOOKUP($B241,'Privacy Analyst Evaluation'!$A$46:$F$120,4,0),""))&amp;""</f>
        <v/>
      </c>
      <c r="F241" s="209" t="str">
        <f>IFERROR(VLOOKUP($B241,'Institution Evaluation'!$A$55:$F$345,6,0),IFERROR(VLOOKUP($B241,'Privacy Analyst Evaluation'!$A$46:$F$120,6,0),""))&amp;""</f>
        <v/>
      </c>
      <c r="G241" s="210"/>
      <c r="H241" s="209" t="str">
        <f>IFERROR(IF($H240+1&gt;'(backend scoring)'!$Q$335,"",$H240+1),"")</f>
        <v/>
      </c>
      <c r="I241" s="209" t="str">
        <f>_xlfn.XLOOKUP($H241,'(backend scoring)'!$S$2:$S$333,'(backend scoring)'!$A$2:$A$333,"")</f>
        <v/>
      </c>
      <c r="J241" s="209" t="str">
        <f>IFERROR(VLOOKUP($I241,'Institution Evaluation'!$A$55:$F$345,2,0),IFERROR(VLOOKUP($I241,'Privacy Analyst Evaluation'!$A$46:$F$120,2,0),""))</f>
        <v/>
      </c>
      <c r="K241" s="209" t="str">
        <f>IFERROR(VLOOKUP($I241,'Institution Evaluation'!$A$55:$F$345,3,0),IFERROR(VLOOKUP($I241,'Privacy Analyst Evaluation'!$A$46:$F$120,3,0),""))&amp;""</f>
        <v/>
      </c>
      <c r="L241" s="209" t="str">
        <f>IFERROR(VLOOKUP($I241,'Institution Evaluation'!$A$55:$F$345,4,0),IFERROR(VLOOKUP($I241,'Privacy Analyst Evaluation'!$A$46:$F$120,4,0),""))&amp;""</f>
        <v/>
      </c>
      <c r="M241" s="209" t="str">
        <f>IFERROR(VLOOKUP($I241,'Institution Evaluation'!$A$55:$F$345,6,0),IFERROR(VLOOKUP($I241,'Privacy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2">
      <c r="A242" s="209" t="str">
        <f>IFERROR(IF($A241+1&gt;'(backend scoring)'!$T$335,"",$A241+1),"")</f>
        <v/>
      </c>
      <c r="B242" s="209" t="str">
        <f>_xlfn.XLOOKUP($A242,'(backend scoring)'!$V$2:$V$333,'(backend scoring)'!$A$2:$A$333,"")</f>
        <v/>
      </c>
      <c r="C242" s="209" t="str">
        <f>IFERROR(VLOOKUP($B242,'Institution Evaluation'!$A$55:$F$345,2,0),IFERROR(VLOOKUP($B242,'Privacy Analyst Evaluation'!$A$46:$F$120,2,0),""))&amp;""</f>
        <v/>
      </c>
      <c r="D242" s="209" t="str">
        <f>IFERROR(VLOOKUP($B242,'Institution Evaluation'!$A$55:$F$345,3,0),IFERROR(VLOOKUP($B242,'Privacy Analyst Evaluation'!$A$46:$F$120,3,0),""))&amp;""</f>
        <v/>
      </c>
      <c r="E242" s="209" t="str">
        <f>IFERROR(VLOOKUP($B242,'Institution Evaluation'!$A$55:$F$345,4,0),IFERROR(VLOOKUP($B242,'Privacy Analyst Evaluation'!$A$46:$F$120,4,0),""))&amp;""</f>
        <v/>
      </c>
      <c r="F242" s="209" t="str">
        <f>IFERROR(VLOOKUP($B242,'Institution Evaluation'!$A$55:$F$345,6,0),IFERROR(VLOOKUP($B242,'Privacy Analyst Evaluation'!$A$46:$F$120,6,0),""))&amp;""</f>
        <v/>
      </c>
      <c r="G242" s="210"/>
      <c r="H242" s="209" t="str">
        <f>IFERROR(IF($H241+1&gt;'(backend scoring)'!$Q$335,"",$H241+1),"")</f>
        <v/>
      </c>
      <c r="I242" s="209" t="str">
        <f>_xlfn.XLOOKUP($H242,'(backend scoring)'!$S$2:$S$333,'(backend scoring)'!$A$2:$A$333,"")</f>
        <v/>
      </c>
      <c r="J242" s="209" t="str">
        <f>IFERROR(VLOOKUP($I242,'Institution Evaluation'!$A$55:$F$345,2,0),IFERROR(VLOOKUP($I242,'Privacy Analyst Evaluation'!$A$46:$F$120,2,0),""))</f>
        <v/>
      </c>
      <c r="K242" s="209" t="str">
        <f>IFERROR(VLOOKUP($I242,'Institution Evaluation'!$A$55:$F$345,3,0),IFERROR(VLOOKUP($I242,'Privacy Analyst Evaluation'!$A$46:$F$120,3,0),""))&amp;""</f>
        <v/>
      </c>
      <c r="L242" s="209" t="str">
        <f>IFERROR(VLOOKUP($I242,'Institution Evaluation'!$A$55:$F$345,4,0),IFERROR(VLOOKUP($I242,'Privacy Analyst Evaluation'!$A$46:$F$120,4,0),""))&amp;""</f>
        <v/>
      </c>
      <c r="M242" s="209" t="str">
        <f>IFERROR(VLOOKUP($I242,'Institution Evaluation'!$A$55:$F$345,6,0),IFERROR(VLOOKUP($I242,'Privacy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2">
      <c r="A243" s="209" t="str">
        <f>IFERROR(IF($A242+1&gt;'(backend scoring)'!$T$335,"",$A242+1),"")</f>
        <v/>
      </c>
      <c r="B243" s="209" t="str">
        <f>_xlfn.XLOOKUP($A243,'(backend scoring)'!$V$2:$V$333,'(backend scoring)'!$A$2:$A$333,"")</f>
        <v/>
      </c>
      <c r="C243" s="209" t="str">
        <f>IFERROR(VLOOKUP($B243,'Institution Evaluation'!$A$55:$F$345,2,0),IFERROR(VLOOKUP($B243,'Privacy Analyst Evaluation'!$A$46:$F$120,2,0),""))&amp;""</f>
        <v/>
      </c>
      <c r="D243" s="209" t="str">
        <f>IFERROR(VLOOKUP($B243,'Institution Evaluation'!$A$55:$F$345,3,0),IFERROR(VLOOKUP($B243,'Privacy Analyst Evaluation'!$A$46:$F$120,3,0),""))&amp;""</f>
        <v/>
      </c>
      <c r="E243" s="209" t="str">
        <f>IFERROR(VLOOKUP($B243,'Institution Evaluation'!$A$55:$F$345,4,0),IFERROR(VLOOKUP($B243,'Privacy Analyst Evaluation'!$A$46:$F$120,4,0),""))&amp;""</f>
        <v/>
      </c>
      <c r="F243" s="209" t="str">
        <f>IFERROR(VLOOKUP($B243,'Institution Evaluation'!$A$55:$F$345,6,0),IFERROR(VLOOKUP($B243,'Privacy Analyst Evaluation'!$A$46:$F$120,6,0),""))&amp;""</f>
        <v/>
      </c>
      <c r="G243" s="210"/>
      <c r="H243" s="209" t="str">
        <f>IFERROR(IF($H242+1&gt;'(backend scoring)'!$Q$335,"",$H242+1),"")</f>
        <v/>
      </c>
      <c r="I243" s="209" t="str">
        <f>_xlfn.XLOOKUP($H243,'(backend scoring)'!$S$2:$S$333,'(backend scoring)'!$A$2:$A$333,"")</f>
        <v/>
      </c>
      <c r="J243" s="209" t="str">
        <f>IFERROR(VLOOKUP($I243,'Institution Evaluation'!$A$55:$F$345,2,0),IFERROR(VLOOKUP($I243,'Privacy Analyst Evaluation'!$A$46:$F$120,2,0),""))</f>
        <v/>
      </c>
      <c r="K243" s="209" t="str">
        <f>IFERROR(VLOOKUP($I243,'Institution Evaluation'!$A$55:$F$345,3,0),IFERROR(VLOOKUP($I243,'Privacy Analyst Evaluation'!$A$46:$F$120,3,0),""))&amp;""</f>
        <v/>
      </c>
      <c r="L243" s="209" t="str">
        <f>IFERROR(VLOOKUP($I243,'Institution Evaluation'!$A$55:$F$345,4,0),IFERROR(VLOOKUP($I243,'Privacy Analyst Evaluation'!$A$46:$F$120,4,0),""))&amp;""</f>
        <v/>
      </c>
      <c r="M243" s="209" t="str">
        <f>IFERROR(VLOOKUP($I243,'Institution Evaluation'!$A$55:$F$345,6,0),IFERROR(VLOOKUP($I243,'Privacy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2">
      <c r="A244" s="209" t="str">
        <f>IFERROR(IF($A243+1&gt;'(backend scoring)'!$T$335,"",$A243+1),"")</f>
        <v/>
      </c>
      <c r="B244" s="209" t="str">
        <f>_xlfn.XLOOKUP($A244,'(backend scoring)'!$V$2:$V$333,'(backend scoring)'!$A$2:$A$333,"")</f>
        <v/>
      </c>
      <c r="C244" s="209" t="str">
        <f>IFERROR(VLOOKUP($B244,'Institution Evaluation'!$A$55:$F$345,2,0),IFERROR(VLOOKUP($B244,'Privacy Analyst Evaluation'!$A$46:$F$120,2,0),""))&amp;""</f>
        <v/>
      </c>
      <c r="D244" s="209" t="str">
        <f>IFERROR(VLOOKUP($B244,'Institution Evaluation'!$A$55:$F$345,3,0),IFERROR(VLOOKUP($B244,'Privacy Analyst Evaluation'!$A$46:$F$120,3,0),""))&amp;""</f>
        <v/>
      </c>
      <c r="E244" s="209" t="str">
        <f>IFERROR(VLOOKUP($B244,'Institution Evaluation'!$A$55:$F$345,4,0),IFERROR(VLOOKUP($B244,'Privacy Analyst Evaluation'!$A$46:$F$120,4,0),""))&amp;""</f>
        <v/>
      </c>
      <c r="F244" s="209" t="str">
        <f>IFERROR(VLOOKUP($B244,'Institution Evaluation'!$A$55:$F$345,6,0),IFERROR(VLOOKUP($B244,'Privacy Analyst Evaluation'!$A$46:$F$120,6,0),""))&amp;""</f>
        <v/>
      </c>
      <c r="G244" s="210"/>
      <c r="H244" s="209" t="str">
        <f>IFERROR(IF($H243+1&gt;'(backend scoring)'!$Q$335,"",$H243+1),"")</f>
        <v/>
      </c>
      <c r="I244" s="209" t="str">
        <f>_xlfn.XLOOKUP($H244,'(backend scoring)'!$S$2:$S$333,'(backend scoring)'!$A$2:$A$333,"")</f>
        <v/>
      </c>
      <c r="J244" s="209" t="str">
        <f>IFERROR(VLOOKUP($I244,'Institution Evaluation'!$A$55:$F$345,2,0),IFERROR(VLOOKUP($I244,'Privacy Analyst Evaluation'!$A$46:$F$120,2,0),""))</f>
        <v/>
      </c>
      <c r="K244" s="209" t="str">
        <f>IFERROR(VLOOKUP($I244,'Institution Evaluation'!$A$55:$F$345,3,0),IFERROR(VLOOKUP($I244,'Privacy Analyst Evaluation'!$A$46:$F$120,3,0),""))&amp;""</f>
        <v/>
      </c>
      <c r="L244" s="209" t="str">
        <f>IFERROR(VLOOKUP($I244,'Institution Evaluation'!$A$55:$F$345,4,0),IFERROR(VLOOKUP($I244,'Privacy Analyst Evaluation'!$A$46:$F$120,4,0),""))&amp;""</f>
        <v/>
      </c>
      <c r="M244" s="209" t="str">
        <f>IFERROR(VLOOKUP($I244,'Institution Evaluation'!$A$55:$F$345,6,0),IFERROR(VLOOKUP($I244,'Privacy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2">
      <c r="A245" s="209" t="str">
        <f>IFERROR(IF($A244+1&gt;'(backend scoring)'!$T$335,"",$A244+1),"")</f>
        <v/>
      </c>
      <c r="B245" s="209" t="str">
        <f>_xlfn.XLOOKUP($A245,'(backend scoring)'!$V$2:$V$333,'(backend scoring)'!$A$2:$A$333,"")</f>
        <v/>
      </c>
      <c r="C245" s="209" t="str">
        <f>IFERROR(VLOOKUP($B245,'Institution Evaluation'!$A$55:$F$345,2,0),IFERROR(VLOOKUP($B245,'Privacy Analyst Evaluation'!$A$46:$F$120,2,0),""))&amp;""</f>
        <v/>
      </c>
      <c r="D245" s="209" t="str">
        <f>IFERROR(VLOOKUP($B245,'Institution Evaluation'!$A$55:$F$345,3,0),IFERROR(VLOOKUP($B245,'Privacy Analyst Evaluation'!$A$46:$F$120,3,0),""))&amp;""</f>
        <v/>
      </c>
      <c r="E245" s="209" t="str">
        <f>IFERROR(VLOOKUP($B245,'Institution Evaluation'!$A$55:$F$345,4,0),IFERROR(VLOOKUP($B245,'Privacy Analyst Evaluation'!$A$46:$F$120,4,0),""))&amp;""</f>
        <v/>
      </c>
      <c r="F245" s="209" t="str">
        <f>IFERROR(VLOOKUP($B245,'Institution Evaluation'!$A$55:$F$345,6,0),IFERROR(VLOOKUP($B245,'Privacy Analyst Evaluation'!$A$46:$F$120,6,0),""))&amp;""</f>
        <v/>
      </c>
      <c r="G245" s="210"/>
      <c r="H245" s="209" t="str">
        <f>IFERROR(IF($H244+1&gt;'(backend scoring)'!$Q$335,"",$H244+1),"")</f>
        <v/>
      </c>
      <c r="I245" s="209" t="str">
        <f>_xlfn.XLOOKUP($H245,'(backend scoring)'!$S$2:$S$333,'(backend scoring)'!$A$2:$A$333,"")</f>
        <v/>
      </c>
      <c r="J245" s="209" t="str">
        <f>IFERROR(VLOOKUP($I245,'Institution Evaluation'!$A$55:$F$345,2,0),IFERROR(VLOOKUP($I245,'Privacy Analyst Evaluation'!$A$46:$F$120,2,0),""))</f>
        <v/>
      </c>
      <c r="K245" s="209" t="str">
        <f>IFERROR(VLOOKUP($I245,'Institution Evaluation'!$A$55:$F$345,3,0),IFERROR(VLOOKUP($I245,'Privacy Analyst Evaluation'!$A$46:$F$120,3,0),""))&amp;""</f>
        <v/>
      </c>
      <c r="L245" s="209" t="str">
        <f>IFERROR(VLOOKUP($I245,'Institution Evaluation'!$A$55:$F$345,4,0),IFERROR(VLOOKUP($I245,'Privacy Analyst Evaluation'!$A$46:$F$120,4,0),""))&amp;""</f>
        <v/>
      </c>
      <c r="M245" s="209" t="str">
        <f>IFERROR(VLOOKUP($I245,'Institution Evaluation'!$A$55:$F$345,6,0),IFERROR(VLOOKUP($I245,'Privacy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2">
      <c r="A246" s="209" t="str">
        <f>IFERROR(IF($A245+1&gt;'(backend scoring)'!$T$335,"",$A245+1),"")</f>
        <v/>
      </c>
      <c r="B246" s="209" t="str">
        <f>_xlfn.XLOOKUP($A246,'(backend scoring)'!$V$2:$V$333,'(backend scoring)'!$A$2:$A$333,"")</f>
        <v/>
      </c>
      <c r="C246" s="209" t="str">
        <f>IFERROR(VLOOKUP($B246,'Institution Evaluation'!$A$55:$F$345,2,0),IFERROR(VLOOKUP($B246,'Privacy Analyst Evaluation'!$A$46:$F$120,2,0),""))&amp;""</f>
        <v/>
      </c>
      <c r="D246" s="209" t="str">
        <f>IFERROR(VLOOKUP($B246,'Institution Evaluation'!$A$55:$F$345,3,0),IFERROR(VLOOKUP($B246,'Privacy Analyst Evaluation'!$A$46:$F$120,3,0),""))&amp;""</f>
        <v/>
      </c>
      <c r="E246" s="209" t="str">
        <f>IFERROR(VLOOKUP($B246,'Institution Evaluation'!$A$55:$F$345,4,0),IFERROR(VLOOKUP($B246,'Privacy Analyst Evaluation'!$A$46:$F$120,4,0),""))&amp;""</f>
        <v/>
      </c>
      <c r="F246" s="209" t="str">
        <f>IFERROR(VLOOKUP($B246,'Institution Evaluation'!$A$55:$F$345,6,0),IFERROR(VLOOKUP($B246,'Privacy Analyst Evaluation'!$A$46:$F$120,6,0),""))&amp;""</f>
        <v/>
      </c>
      <c r="G246" s="210"/>
      <c r="H246" s="209" t="str">
        <f>IFERROR(IF($H245+1&gt;'(backend scoring)'!$Q$335,"",$H245+1),"")</f>
        <v/>
      </c>
      <c r="I246" s="209" t="str">
        <f>_xlfn.XLOOKUP($H246,'(backend scoring)'!$S$2:$S$333,'(backend scoring)'!$A$2:$A$333,"")</f>
        <v/>
      </c>
      <c r="J246" s="209" t="str">
        <f>IFERROR(VLOOKUP($I246,'Institution Evaluation'!$A$55:$F$345,2,0),IFERROR(VLOOKUP($I246,'Privacy Analyst Evaluation'!$A$46:$F$120,2,0),""))</f>
        <v/>
      </c>
      <c r="K246" s="209" t="str">
        <f>IFERROR(VLOOKUP($I246,'Institution Evaluation'!$A$55:$F$345,3,0),IFERROR(VLOOKUP($I246,'Privacy Analyst Evaluation'!$A$46:$F$120,3,0),""))&amp;""</f>
        <v/>
      </c>
      <c r="L246" s="209" t="str">
        <f>IFERROR(VLOOKUP($I246,'Institution Evaluation'!$A$55:$F$345,4,0),IFERROR(VLOOKUP($I246,'Privacy Analyst Evaluation'!$A$46:$F$120,4,0),""))&amp;""</f>
        <v/>
      </c>
      <c r="M246" s="209" t="str">
        <f>IFERROR(VLOOKUP($I246,'Institution Evaluation'!$A$55:$F$345,6,0),IFERROR(VLOOKUP($I246,'Privacy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2">
      <c r="A247" s="209" t="str">
        <f>IFERROR(IF($A246+1&gt;'(backend scoring)'!$T$335,"",$A246+1),"")</f>
        <v/>
      </c>
      <c r="B247" s="209" t="str">
        <f>_xlfn.XLOOKUP($A247,'(backend scoring)'!$V$2:$V$333,'(backend scoring)'!$A$2:$A$333,"")</f>
        <v/>
      </c>
      <c r="C247" s="209" t="str">
        <f>IFERROR(VLOOKUP($B247,'Institution Evaluation'!$A$55:$F$345,2,0),IFERROR(VLOOKUP($B247,'Privacy Analyst Evaluation'!$A$46:$F$120,2,0),""))&amp;""</f>
        <v/>
      </c>
      <c r="D247" s="209" t="str">
        <f>IFERROR(VLOOKUP($B247,'Institution Evaluation'!$A$55:$F$345,3,0),IFERROR(VLOOKUP($B247,'Privacy Analyst Evaluation'!$A$46:$F$120,3,0),""))&amp;""</f>
        <v/>
      </c>
      <c r="E247" s="209" t="str">
        <f>IFERROR(VLOOKUP($B247,'Institution Evaluation'!$A$55:$F$345,4,0),IFERROR(VLOOKUP($B247,'Privacy Analyst Evaluation'!$A$46:$F$120,4,0),""))&amp;""</f>
        <v/>
      </c>
      <c r="F247" s="209" t="str">
        <f>IFERROR(VLOOKUP($B247,'Institution Evaluation'!$A$55:$F$345,6,0),IFERROR(VLOOKUP($B247,'Privacy Analyst Evaluation'!$A$46:$F$120,6,0),""))&amp;""</f>
        <v/>
      </c>
      <c r="G247" s="210"/>
      <c r="H247" s="209" t="str">
        <f>IFERROR(IF($H246+1&gt;'(backend scoring)'!$Q$335,"",$H246+1),"")</f>
        <v/>
      </c>
      <c r="I247" s="209" t="str">
        <f>_xlfn.XLOOKUP($H247,'(backend scoring)'!$S$2:$S$333,'(backend scoring)'!$A$2:$A$333,"")</f>
        <v/>
      </c>
      <c r="J247" s="209" t="str">
        <f>IFERROR(VLOOKUP($I247,'Institution Evaluation'!$A$55:$F$345,2,0),IFERROR(VLOOKUP($I247,'Privacy Analyst Evaluation'!$A$46:$F$120,2,0),""))</f>
        <v/>
      </c>
      <c r="K247" s="209" t="str">
        <f>IFERROR(VLOOKUP($I247,'Institution Evaluation'!$A$55:$F$345,3,0),IFERROR(VLOOKUP($I247,'Privacy Analyst Evaluation'!$A$46:$F$120,3,0),""))&amp;""</f>
        <v/>
      </c>
      <c r="L247" s="209" t="str">
        <f>IFERROR(VLOOKUP($I247,'Institution Evaluation'!$A$55:$F$345,4,0),IFERROR(VLOOKUP($I247,'Privacy Analyst Evaluation'!$A$46:$F$120,4,0),""))&amp;""</f>
        <v/>
      </c>
      <c r="M247" s="209" t="str">
        <f>IFERROR(VLOOKUP($I247,'Institution Evaluation'!$A$55:$F$345,6,0),IFERROR(VLOOKUP($I247,'Privacy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2">
      <c r="A248" s="209" t="str">
        <f>IFERROR(IF($A247+1&gt;'(backend scoring)'!$T$335,"",$A247+1),"")</f>
        <v/>
      </c>
      <c r="B248" s="209" t="str">
        <f>_xlfn.XLOOKUP($A248,'(backend scoring)'!$V$2:$V$333,'(backend scoring)'!$A$2:$A$333,"")</f>
        <v/>
      </c>
      <c r="C248" s="209" t="str">
        <f>IFERROR(VLOOKUP($B248,'Institution Evaluation'!$A$55:$F$345,2,0),IFERROR(VLOOKUP($B248,'Privacy Analyst Evaluation'!$A$46:$F$120,2,0),""))&amp;""</f>
        <v/>
      </c>
      <c r="D248" s="209" t="str">
        <f>IFERROR(VLOOKUP($B248,'Institution Evaluation'!$A$55:$F$345,3,0),IFERROR(VLOOKUP($B248,'Privacy Analyst Evaluation'!$A$46:$F$120,3,0),""))&amp;""</f>
        <v/>
      </c>
      <c r="E248" s="209" t="str">
        <f>IFERROR(VLOOKUP($B248,'Institution Evaluation'!$A$55:$F$345,4,0),IFERROR(VLOOKUP($B248,'Privacy Analyst Evaluation'!$A$46:$F$120,4,0),""))&amp;""</f>
        <v/>
      </c>
      <c r="F248" s="209" t="str">
        <f>IFERROR(VLOOKUP($B248,'Institution Evaluation'!$A$55:$F$345,6,0),IFERROR(VLOOKUP($B248,'Privacy Analyst Evaluation'!$A$46:$F$120,6,0),""))&amp;""</f>
        <v/>
      </c>
      <c r="G248" s="210"/>
      <c r="H248" s="209" t="str">
        <f>IFERROR(IF($H247+1&gt;'(backend scoring)'!$Q$335,"",$H247+1),"")</f>
        <v/>
      </c>
      <c r="I248" s="209" t="str">
        <f>_xlfn.XLOOKUP($H248,'(backend scoring)'!$S$2:$S$333,'(backend scoring)'!$A$2:$A$333,"")</f>
        <v/>
      </c>
      <c r="J248" s="209" t="str">
        <f>IFERROR(VLOOKUP($I248,'Institution Evaluation'!$A$55:$F$345,2,0),IFERROR(VLOOKUP($I248,'Privacy Analyst Evaluation'!$A$46:$F$120,2,0),""))</f>
        <v/>
      </c>
      <c r="K248" s="209" t="str">
        <f>IFERROR(VLOOKUP($I248,'Institution Evaluation'!$A$55:$F$345,3,0),IFERROR(VLOOKUP($I248,'Privacy Analyst Evaluation'!$A$46:$F$120,3,0),""))&amp;""</f>
        <v/>
      </c>
      <c r="L248" s="209" t="str">
        <f>IFERROR(VLOOKUP($I248,'Institution Evaluation'!$A$55:$F$345,4,0),IFERROR(VLOOKUP($I248,'Privacy Analyst Evaluation'!$A$46:$F$120,4,0),""))&amp;""</f>
        <v/>
      </c>
      <c r="M248" s="209" t="str">
        <f>IFERROR(VLOOKUP($I248,'Institution Evaluation'!$A$55:$F$345,6,0),IFERROR(VLOOKUP($I248,'Privacy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2">
      <c r="A249" s="209" t="str">
        <f>IFERROR(IF($A248+1&gt;'(backend scoring)'!$T$335,"",$A248+1),"")</f>
        <v/>
      </c>
      <c r="B249" s="209" t="str">
        <f>_xlfn.XLOOKUP($A249,'(backend scoring)'!$V$2:$V$333,'(backend scoring)'!$A$2:$A$333,"")</f>
        <v/>
      </c>
      <c r="C249" s="209" t="str">
        <f>IFERROR(VLOOKUP($B249,'Institution Evaluation'!$A$55:$F$345,2,0),IFERROR(VLOOKUP($B249,'Privacy Analyst Evaluation'!$A$46:$F$120,2,0),""))&amp;""</f>
        <v/>
      </c>
      <c r="D249" s="209" t="str">
        <f>IFERROR(VLOOKUP($B249,'Institution Evaluation'!$A$55:$F$345,3,0),IFERROR(VLOOKUP($B249,'Privacy Analyst Evaluation'!$A$46:$F$120,3,0),""))&amp;""</f>
        <v/>
      </c>
      <c r="E249" s="209" t="str">
        <f>IFERROR(VLOOKUP($B249,'Institution Evaluation'!$A$55:$F$345,4,0),IFERROR(VLOOKUP($B249,'Privacy Analyst Evaluation'!$A$46:$F$120,4,0),""))&amp;""</f>
        <v/>
      </c>
      <c r="F249" s="209" t="str">
        <f>IFERROR(VLOOKUP($B249,'Institution Evaluation'!$A$55:$F$345,6,0),IFERROR(VLOOKUP($B249,'Privacy Analyst Evaluation'!$A$46:$F$120,6,0),""))&amp;""</f>
        <v/>
      </c>
      <c r="G249" s="210"/>
      <c r="H249" s="209" t="str">
        <f>IFERROR(IF($H248+1&gt;'(backend scoring)'!$Q$335,"",$H248+1),"")</f>
        <v/>
      </c>
      <c r="I249" s="209" t="str">
        <f>_xlfn.XLOOKUP($H249,'(backend scoring)'!$S$2:$S$333,'(backend scoring)'!$A$2:$A$333,"")</f>
        <v/>
      </c>
      <c r="J249" s="209" t="str">
        <f>IFERROR(VLOOKUP($I249,'Institution Evaluation'!$A$55:$F$345,2,0),IFERROR(VLOOKUP($I249,'Privacy Analyst Evaluation'!$A$46:$F$120,2,0),""))</f>
        <v/>
      </c>
      <c r="K249" s="209" t="str">
        <f>IFERROR(VLOOKUP($I249,'Institution Evaluation'!$A$55:$F$345,3,0),IFERROR(VLOOKUP($I249,'Privacy Analyst Evaluation'!$A$46:$F$120,3,0),""))&amp;""</f>
        <v/>
      </c>
      <c r="L249" s="209" t="str">
        <f>IFERROR(VLOOKUP($I249,'Institution Evaluation'!$A$55:$F$345,4,0),IFERROR(VLOOKUP($I249,'Privacy Analyst Evaluation'!$A$46:$F$120,4,0),""))&amp;""</f>
        <v/>
      </c>
      <c r="M249" s="209" t="str">
        <f>IFERROR(VLOOKUP($I249,'Institution Evaluation'!$A$55:$F$345,6,0),IFERROR(VLOOKUP($I249,'Privacy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2">
      <c r="A250" s="209" t="str">
        <f>IFERROR(IF($A249+1&gt;'(backend scoring)'!$T$335,"",$A249+1),"")</f>
        <v/>
      </c>
      <c r="B250" s="209" t="str">
        <f>_xlfn.XLOOKUP($A250,'(backend scoring)'!$V$2:$V$333,'(backend scoring)'!$A$2:$A$333,"")</f>
        <v/>
      </c>
      <c r="C250" s="209" t="str">
        <f>IFERROR(VLOOKUP($B250,'Institution Evaluation'!$A$55:$F$345,2,0),IFERROR(VLOOKUP($B250,'Privacy Analyst Evaluation'!$A$46:$F$120,2,0),""))&amp;""</f>
        <v/>
      </c>
      <c r="D250" s="209" t="str">
        <f>IFERROR(VLOOKUP($B250,'Institution Evaluation'!$A$55:$F$345,3,0),IFERROR(VLOOKUP($B250,'Privacy Analyst Evaluation'!$A$46:$F$120,3,0),""))&amp;""</f>
        <v/>
      </c>
      <c r="E250" s="209" t="str">
        <f>IFERROR(VLOOKUP($B250,'Institution Evaluation'!$A$55:$F$345,4,0),IFERROR(VLOOKUP($B250,'Privacy Analyst Evaluation'!$A$46:$F$120,4,0),""))&amp;""</f>
        <v/>
      </c>
      <c r="F250" s="209" t="str">
        <f>IFERROR(VLOOKUP($B250,'Institution Evaluation'!$A$55:$F$345,6,0),IFERROR(VLOOKUP($B250,'Privacy Analyst Evaluation'!$A$46:$F$120,6,0),""))&amp;""</f>
        <v/>
      </c>
      <c r="G250" s="210"/>
      <c r="H250" s="209" t="str">
        <f>IFERROR(IF($H249+1&gt;'(backend scoring)'!$Q$335,"",$H249+1),"")</f>
        <v/>
      </c>
      <c r="I250" s="209" t="str">
        <f>_xlfn.XLOOKUP($H250,'(backend scoring)'!$S$2:$S$333,'(backend scoring)'!$A$2:$A$333,"")</f>
        <v/>
      </c>
      <c r="J250" s="209" t="str">
        <f>IFERROR(VLOOKUP($I250,'Institution Evaluation'!$A$55:$F$345,2,0),IFERROR(VLOOKUP($I250,'Privacy Analyst Evaluation'!$A$46:$F$120,2,0),""))</f>
        <v/>
      </c>
      <c r="K250" s="209" t="str">
        <f>IFERROR(VLOOKUP($I250,'Institution Evaluation'!$A$55:$F$345,3,0),IFERROR(VLOOKUP($I250,'Privacy Analyst Evaluation'!$A$46:$F$120,3,0),""))&amp;""</f>
        <v/>
      </c>
      <c r="L250" s="209" t="str">
        <f>IFERROR(VLOOKUP($I250,'Institution Evaluation'!$A$55:$F$345,4,0),IFERROR(VLOOKUP($I250,'Privacy Analyst Evaluation'!$A$46:$F$120,4,0),""))&amp;""</f>
        <v/>
      </c>
      <c r="M250" s="209" t="str">
        <f>IFERROR(VLOOKUP($I250,'Institution Evaluation'!$A$55:$F$345,6,0),IFERROR(VLOOKUP($I250,'Privacy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2">
      <c r="A251" s="209" t="str">
        <f>IFERROR(IF($A250+1&gt;'(backend scoring)'!$T$335,"",$A250+1),"")</f>
        <v/>
      </c>
      <c r="B251" s="209" t="str">
        <f>_xlfn.XLOOKUP($A251,'(backend scoring)'!$V$2:$V$333,'(backend scoring)'!$A$2:$A$333,"")</f>
        <v/>
      </c>
      <c r="C251" s="209" t="str">
        <f>IFERROR(VLOOKUP($B251,'Institution Evaluation'!$A$55:$F$345,2,0),IFERROR(VLOOKUP($B251,'Privacy Analyst Evaluation'!$A$46:$F$120,2,0),""))&amp;""</f>
        <v/>
      </c>
      <c r="D251" s="209" t="str">
        <f>IFERROR(VLOOKUP($B251,'Institution Evaluation'!$A$55:$F$345,3,0),IFERROR(VLOOKUP($B251,'Privacy Analyst Evaluation'!$A$46:$F$120,3,0),""))&amp;""</f>
        <v/>
      </c>
      <c r="E251" s="209" t="str">
        <f>IFERROR(VLOOKUP($B251,'Institution Evaluation'!$A$55:$F$345,4,0),IFERROR(VLOOKUP($B251,'Privacy Analyst Evaluation'!$A$46:$F$120,4,0),""))&amp;""</f>
        <v/>
      </c>
      <c r="F251" s="209" t="str">
        <f>IFERROR(VLOOKUP($B251,'Institution Evaluation'!$A$55:$F$345,6,0),IFERROR(VLOOKUP($B251,'Privacy Analyst Evaluation'!$A$46:$F$120,6,0),""))&amp;""</f>
        <v/>
      </c>
      <c r="G251" s="210"/>
      <c r="H251" s="209" t="str">
        <f>IFERROR(IF($H250+1&gt;'(backend scoring)'!$Q$335,"",$H250+1),"")</f>
        <v/>
      </c>
      <c r="I251" s="209" t="str">
        <f>_xlfn.XLOOKUP($H251,'(backend scoring)'!$S$2:$S$333,'(backend scoring)'!$A$2:$A$333,"")</f>
        <v/>
      </c>
      <c r="J251" s="209" t="str">
        <f>IFERROR(VLOOKUP($I251,'Institution Evaluation'!$A$55:$F$345,2,0),IFERROR(VLOOKUP($I251,'Privacy Analyst Evaluation'!$A$46:$F$120,2,0),""))</f>
        <v/>
      </c>
      <c r="K251" s="209" t="str">
        <f>IFERROR(VLOOKUP($I251,'Institution Evaluation'!$A$55:$F$345,3,0),IFERROR(VLOOKUP($I251,'Privacy Analyst Evaluation'!$A$46:$F$120,3,0),""))&amp;""</f>
        <v/>
      </c>
      <c r="L251" s="209" t="str">
        <f>IFERROR(VLOOKUP($I251,'Institution Evaluation'!$A$55:$F$345,4,0),IFERROR(VLOOKUP($I251,'Privacy Analyst Evaluation'!$A$46:$F$120,4,0),""))&amp;""</f>
        <v/>
      </c>
      <c r="M251" s="209" t="str">
        <f>IFERROR(VLOOKUP($I251,'Institution Evaluation'!$A$55:$F$345,6,0),IFERROR(VLOOKUP($I251,'Privacy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2">
      <c r="A252" s="209" t="str">
        <f>IFERROR(IF($A251+1&gt;'(backend scoring)'!$T$335,"",$A251+1),"")</f>
        <v/>
      </c>
      <c r="B252" s="209" t="str">
        <f>_xlfn.XLOOKUP($A252,'(backend scoring)'!$V$2:$V$333,'(backend scoring)'!$A$2:$A$333,"")</f>
        <v/>
      </c>
      <c r="C252" s="209" t="str">
        <f>IFERROR(VLOOKUP($B252,'Institution Evaluation'!$A$55:$F$345,2,0),IFERROR(VLOOKUP($B252,'Privacy Analyst Evaluation'!$A$46:$F$120,2,0),""))&amp;""</f>
        <v/>
      </c>
      <c r="D252" s="209" t="str">
        <f>IFERROR(VLOOKUP($B252,'Institution Evaluation'!$A$55:$F$345,3,0),IFERROR(VLOOKUP($B252,'Privacy Analyst Evaluation'!$A$46:$F$120,3,0),""))&amp;""</f>
        <v/>
      </c>
      <c r="E252" s="209" t="str">
        <f>IFERROR(VLOOKUP($B252,'Institution Evaluation'!$A$55:$F$345,4,0),IFERROR(VLOOKUP($B252,'Privacy Analyst Evaluation'!$A$46:$F$120,4,0),""))&amp;""</f>
        <v/>
      </c>
      <c r="F252" s="209" t="str">
        <f>IFERROR(VLOOKUP($B252,'Institution Evaluation'!$A$55:$F$345,6,0),IFERROR(VLOOKUP($B252,'Privacy Analyst Evaluation'!$A$46:$F$120,6,0),""))&amp;""</f>
        <v/>
      </c>
      <c r="G252" s="210"/>
      <c r="H252" s="209" t="str">
        <f>IFERROR(IF($H251+1&gt;'(backend scoring)'!$Q$335,"",$H251+1),"")</f>
        <v/>
      </c>
      <c r="I252" s="209" t="str">
        <f>_xlfn.XLOOKUP($H252,'(backend scoring)'!$S$2:$S$333,'(backend scoring)'!$A$2:$A$333,"")</f>
        <v/>
      </c>
      <c r="J252" s="209" t="str">
        <f>IFERROR(VLOOKUP($I252,'Institution Evaluation'!$A$55:$F$345,2,0),IFERROR(VLOOKUP($I252,'Privacy Analyst Evaluation'!$A$46:$F$120,2,0),""))</f>
        <v/>
      </c>
      <c r="K252" s="209" t="str">
        <f>IFERROR(VLOOKUP($I252,'Institution Evaluation'!$A$55:$F$345,3,0),IFERROR(VLOOKUP($I252,'Privacy Analyst Evaluation'!$A$46:$F$120,3,0),""))&amp;""</f>
        <v/>
      </c>
      <c r="L252" s="209" t="str">
        <f>IFERROR(VLOOKUP($I252,'Institution Evaluation'!$A$55:$F$345,4,0),IFERROR(VLOOKUP($I252,'Privacy Analyst Evaluation'!$A$46:$F$120,4,0),""))&amp;""</f>
        <v/>
      </c>
      <c r="M252" s="209" t="str">
        <f>IFERROR(VLOOKUP($I252,'Institution Evaluation'!$A$55:$F$345,6,0),IFERROR(VLOOKUP($I252,'Privacy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2">
      <c r="A253" s="209" t="str">
        <f>IFERROR(IF($A252+1&gt;'(backend scoring)'!$T$335,"",$A252+1),"")</f>
        <v/>
      </c>
      <c r="B253" s="209" t="str">
        <f>_xlfn.XLOOKUP($A253,'(backend scoring)'!$V$2:$V$333,'(backend scoring)'!$A$2:$A$333,"")</f>
        <v/>
      </c>
      <c r="C253" s="209" t="str">
        <f>IFERROR(VLOOKUP($B253,'Institution Evaluation'!$A$55:$F$345,2,0),IFERROR(VLOOKUP($B253,'Privacy Analyst Evaluation'!$A$46:$F$120,2,0),""))&amp;""</f>
        <v/>
      </c>
      <c r="D253" s="209" t="str">
        <f>IFERROR(VLOOKUP($B253,'Institution Evaluation'!$A$55:$F$345,3,0),IFERROR(VLOOKUP($B253,'Privacy Analyst Evaluation'!$A$46:$F$120,3,0),""))&amp;""</f>
        <v/>
      </c>
      <c r="E253" s="209" t="str">
        <f>IFERROR(VLOOKUP($B253,'Institution Evaluation'!$A$55:$F$345,4,0),IFERROR(VLOOKUP($B253,'Privacy Analyst Evaluation'!$A$46:$F$120,4,0),""))&amp;""</f>
        <v/>
      </c>
      <c r="F253" s="209" t="str">
        <f>IFERROR(VLOOKUP($B253,'Institution Evaluation'!$A$55:$F$345,6,0),IFERROR(VLOOKUP($B253,'Privacy Analyst Evaluation'!$A$46:$F$120,6,0),""))&amp;""</f>
        <v/>
      </c>
      <c r="G253" s="210"/>
      <c r="H253" s="209" t="str">
        <f>IFERROR(IF($H252+1&gt;'(backend scoring)'!$Q$335,"",$H252+1),"")</f>
        <v/>
      </c>
      <c r="I253" s="209" t="str">
        <f>_xlfn.XLOOKUP($H253,'(backend scoring)'!$S$2:$S$333,'(backend scoring)'!$A$2:$A$333,"")</f>
        <v/>
      </c>
      <c r="J253" s="209" t="str">
        <f>IFERROR(VLOOKUP($I253,'Institution Evaluation'!$A$55:$F$345,2,0),IFERROR(VLOOKUP($I253,'Privacy Analyst Evaluation'!$A$46:$F$120,2,0),""))</f>
        <v/>
      </c>
      <c r="K253" s="209" t="str">
        <f>IFERROR(VLOOKUP($I253,'Institution Evaluation'!$A$55:$F$345,3,0),IFERROR(VLOOKUP($I253,'Privacy Analyst Evaluation'!$A$46:$F$120,3,0),""))&amp;""</f>
        <v/>
      </c>
      <c r="L253" s="209" t="str">
        <f>IFERROR(VLOOKUP($I253,'Institution Evaluation'!$A$55:$F$345,4,0),IFERROR(VLOOKUP($I253,'Privacy Analyst Evaluation'!$A$46:$F$120,4,0),""))&amp;""</f>
        <v/>
      </c>
      <c r="M253" s="209" t="str">
        <f>IFERROR(VLOOKUP($I253,'Institution Evaluation'!$A$55:$F$345,6,0),IFERROR(VLOOKUP($I253,'Privacy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2">
      <c r="A254" s="209" t="str">
        <f>IFERROR(IF($A253+1&gt;'(backend scoring)'!$T$335,"",$A253+1),"")</f>
        <v/>
      </c>
      <c r="B254" s="209" t="str">
        <f>_xlfn.XLOOKUP($A254,'(backend scoring)'!$V$2:$V$333,'(backend scoring)'!$A$2:$A$333,"")</f>
        <v/>
      </c>
      <c r="C254" s="209" t="str">
        <f>IFERROR(VLOOKUP($B254,'Institution Evaluation'!$A$55:$F$345,2,0),IFERROR(VLOOKUP($B254,'Privacy Analyst Evaluation'!$A$46:$F$120,2,0),""))&amp;""</f>
        <v/>
      </c>
      <c r="D254" s="209" t="str">
        <f>IFERROR(VLOOKUP($B254,'Institution Evaluation'!$A$55:$F$345,3,0),IFERROR(VLOOKUP($B254,'Privacy Analyst Evaluation'!$A$46:$F$120,3,0),""))&amp;""</f>
        <v/>
      </c>
      <c r="E254" s="209" t="str">
        <f>IFERROR(VLOOKUP($B254,'Institution Evaluation'!$A$55:$F$345,4,0),IFERROR(VLOOKUP($B254,'Privacy Analyst Evaluation'!$A$46:$F$120,4,0),""))&amp;""</f>
        <v/>
      </c>
      <c r="F254" s="209" t="str">
        <f>IFERROR(VLOOKUP($B254,'Institution Evaluation'!$A$55:$F$345,6,0),IFERROR(VLOOKUP($B254,'Privacy Analyst Evaluation'!$A$46:$F$120,6,0),""))&amp;""</f>
        <v/>
      </c>
      <c r="G254" s="210"/>
      <c r="H254" s="209" t="str">
        <f>IFERROR(IF($H253+1&gt;'(backend scoring)'!$Q$335,"",$H253+1),"")</f>
        <v/>
      </c>
      <c r="I254" s="209" t="str">
        <f>_xlfn.XLOOKUP($H254,'(backend scoring)'!$S$2:$S$333,'(backend scoring)'!$A$2:$A$333,"")</f>
        <v/>
      </c>
      <c r="J254" s="209" t="str">
        <f>IFERROR(VLOOKUP($I254,'Institution Evaluation'!$A$55:$F$345,2,0),IFERROR(VLOOKUP($I254,'Privacy Analyst Evaluation'!$A$46:$F$120,2,0),""))</f>
        <v/>
      </c>
      <c r="K254" s="209" t="str">
        <f>IFERROR(VLOOKUP($I254,'Institution Evaluation'!$A$55:$F$345,3,0),IFERROR(VLOOKUP($I254,'Privacy Analyst Evaluation'!$A$46:$F$120,3,0),""))&amp;""</f>
        <v/>
      </c>
      <c r="L254" s="209" t="str">
        <f>IFERROR(VLOOKUP($I254,'Institution Evaluation'!$A$55:$F$345,4,0),IFERROR(VLOOKUP($I254,'Privacy Analyst Evaluation'!$A$46:$F$120,4,0),""))&amp;""</f>
        <v/>
      </c>
      <c r="M254" s="209" t="str">
        <f>IFERROR(VLOOKUP($I254,'Institution Evaluation'!$A$55:$F$345,6,0),IFERROR(VLOOKUP($I254,'Privacy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2">
      <c r="A255" s="209" t="str">
        <f>IFERROR(IF($A254+1&gt;'(backend scoring)'!$T$335,"",$A254+1),"")</f>
        <v/>
      </c>
      <c r="B255" s="209" t="str">
        <f>_xlfn.XLOOKUP($A255,'(backend scoring)'!$V$2:$V$333,'(backend scoring)'!$A$2:$A$333,"")</f>
        <v/>
      </c>
      <c r="C255" s="209" t="str">
        <f>IFERROR(VLOOKUP($B255,'Institution Evaluation'!$A$55:$F$345,2,0),IFERROR(VLOOKUP($B255,'Privacy Analyst Evaluation'!$A$46:$F$120,2,0),""))&amp;""</f>
        <v/>
      </c>
      <c r="D255" s="209" t="str">
        <f>IFERROR(VLOOKUP($B255,'Institution Evaluation'!$A$55:$F$345,3,0),IFERROR(VLOOKUP($B255,'Privacy Analyst Evaluation'!$A$46:$F$120,3,0),""))&amp;""</f>
        <v/>
      </c>
      <c r="E255" s="209" t="str">
        <f>IFERROR(VLOOKUP($B255,'Institution Evaluation'!$A$55:$F$345,4,0),IFERROR(VLOOKUP($B255,'Privacy Analyst Evaluation'!$A$46:$F$120,4,0),""))&amp;""</f>
        <v/>
      </c>
      <c r="F255" s="209" t="str">
        <f>IFERROR(VLOOKUP($B255,'Institution Evaluation'!$A$55:$F$345,6,0),IFERROR(VLOOKUP($B255,'Privacy Analyst Evaluation'!$A$46:$F$120,6,0),""))&amp;""</f>
        <v/>
      </c>
      <c r="G255" s="210"/>
      <c r="H255" s="209" t="str">
        <f>IFERROR(IF($H254+1&gt;'(backend scoring)'!$Q$335,"",$H254+1),"")</f>
        <v/>
      </c>
      <c r="I255" s="209" t="str">
        <f>_xlfn.XLOOKUP($H255,'(backend scoring)'!$S$2:$S$333,'(backend scoring)'!$A$2:$A$333,"")</f>
        <v/>
      </c>
      <c r="J255" s="209" t="str">
        <f>IFERROR(VLOOKUP($I255,'Institution Evaluation'!$A$55:$F$345,2,0),IFERROR(VLOOKUP($I255,'Privacy Analyst Evaluation'!$A$46:$F$120,2,0),""))</f>
        <v/>
      </c>
      <c r="K255" s="209" t="str">
        <f>IFERROR(VLOOKUP($I255,'Institution Evaluation'!$A$55:$F$345,3,0),IFERROR(VLOOKUP($I255,'Privacy Analyst Evaluation'!$A$46:$F$120,3,0),""))&amp;""</f>
        <v/>
      </c>
      <c r="L255" s="209" t="str">
        <f>IFERROR(VLOOKUP($I255,'Institution Evaluation'!$A$55:$F$345,4,0),IFERROR(VLOOKUP($I255,'Privacy Analyst Evaluation'!$A$46:$F$120,4,0),""))&amp;""</f>
        <v/>
      </c>
      <c r="M255" s="209" t="str">
        <f>IFERROR(VLOOKUP($I255,'Institution Evaluation'!$A$55:$F$345,6,0),IFERROR(VLOOKUP($I255,'Privacy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2">
      <c r="A256" s="209" t="str">
        <f>IFERROR(IF($A255+1&gt;'(backend scoring)'!$T$335,"",$A255+1),"")</f>
        <v/>
      </c>
      <c r="B256" s="209" t="str">
        <f>_xlfn.XLOOKUP($A256,'(backend scoring)'!$V$2:$V$333,'(backend scoring)'!$A$2:$A$333,"")</f>
        <v/>
      </c>
      <c r="C256" s="209" t="str">
        <f>IFERROR(VLOOKUP($B256,'Institution Evaluation'!$A$55:$F$345,2,0),IFERROR(VLOOKUP($B256,'Privacy Analyst Evaluation'!$A$46:$F$120,2,0),""))&amp;""</f>
        <v/>
      </c>
      <c r="D256" s="209" t="str">
        <f>IFERROR(VLOOKUP($B256,'Institution Evaluation'!$A$55:$F$345,3,0),IFERROR(VLOOKUP($B256,'Privacy Analyst Evaluation'!$A$46:$F$120,3,0),""))&amp;""</f>
        <v/>
      </c>
      <c r="E256" s="209" t="str">
        <f>IFERROR(VLOOKUP($B256,'Institution Evaluation'!$A$55:$F$345,4,0),IFERROR(VLOOKUP($B256,'Privacy Analyst Evaluation'!$A$46:$F$120,4,0),""))&amp;""</f>
        <v/>
      </c>
      <c r="F256" s="209" t="str">
        <f>IFERROR(VLOOKUP($B256,'Institution Evaluation'!$A$55:$F$345,6,0),IFERROR(VLOOKUP($B256,'Privacy Analyst Evaluation'!$A$46:$F$120,6,0),""))&amp;""</f>
        <v/>
      </c>
      <c r="G256" s="210"/>
      <c r="H256" s="209" t="str">
        <f>IFERROR(IF($H255+1&gt;'(backend scoring)'!$Q$335,"",$H255+1),"")</f>
        <v/>
      </c>
      <c r="I256" s="209" t="str">
        <f>_xlfn.XLOOKUP($H256,'(backend scoring)'!$S$2:$S$333,'(backend scoring)'!$A$2:$A$333,"")</f>
        <v/>
      </c>
      <c r="J256" s="209" t="str">
        <f>IFERROR(VLOOKUP($I256,'Institution Evaluation'!$A$55:$F$345,2,0),IFERROR(VLOOKUP($I256,'Privacy Analyst Evaluation'!$A$46:$F$120,2,0),""))</f>
        <v/>
      </c>
      <c r="K256" s="209" t="str">
        <f>IFERROR(VLOOKUP($I256,'Institution Evaluation'!$A$55:$F$345,3,0),IFERROR(VLOOKUP($I256,'Privacy Analyst Evaluation'!$A$46:$F$120,3,0),""))&amp;""</f>
        <v/>
      </c>
      <c r="L256" s="209" t="str">
        <f>IFERROR(VLOOKUP($I256,'Institution Evaluation'!$A$55:$F$345,4,0),IFERROR(VLOOKUP($I256,'Privacy Analyst Evaluation'!$A$46:$F$120,4,0),""))&amp;""</f>
        <v/>
      </c>
      <c r="M256" s="209" t="str">
        <f>IFERROR(VLOOKUP($I256,'Institution Evaluation'!$A$55:$F$345,6,0),IFERROR(VLOOKUP($I256,'Privacy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2">
      <c r="A257" s="209" t="str">
        <f>IFERROR(IF($A256+1&gt;'(backend scoring)'!$T$335,"",$A256+1),"")</f>
        <v/>
      </c>
      <c r="B257" s="209" t="str">
        <f>_xlfn.XLOOKUP($A257,'(backend scoring)'!$V$2:$V$333,'(backend scoring)'!$A$2:$A$333,"")</f>
        <v/>
      </c>
      <c r="C257" s="209" t="str">
        <f>IFERROR(VLOOKUP($B257,'Institution Evaluation'!$A$55:$F$345,2,0),IFERROR(VLOOKUP($B257,'Privacy Analyst Evaluation'!$A$46:$F$120,2,0),""))&amp;""</f>
        <v/>
      </c>
      <c r="D257" s="209" t="str">
        <f>IFERROR(VLOOKUP($B257,'Institution Evaluation'!$A$55:$F$345,3,0),IFERROR(VLOOKUP($B257,'Privacy Analyst Evaluation'!$A$46:$F$120,3,0),""))&amp;""</f>
        <v/>
      </c>
      <c r="E257" s="209" t="str">
        <f>IFERROR(VLOOKUP($B257,'Institution Evaluation'!$A$55:$F$345,4,0),IFERROR(VLOOKUP($B257,'Privacy Analyst Evaluation'!$A$46:$F$120,4,0),""))&amp;""</f>
        <v/>
      </c>
      <c r="F257" s="209" t="str">
        <f>IFERROR(VLOOKUP($B257,'Institution Evaluation'!$A$55:$F$345,6,0),IFERROR(VLOOKUP($B257,'Privacy Analyst Evaluation'!$A$46:$F$120,6,0),""))&amp;""</f>
        <v/>
      </c>
      <c r="G257" s="210"/>
      <c r="H257" s="209" t="str">
        <f>IFERROR(IF($H256+1&gt;'(backend scoring)'!$Q$335,"",$H256+1),"")</f>
        <v/>
      </c>
      <c r="I257" s="209" t="str">
        <f>_xlfn.XLOOKUP($H257,'(backend scoring)'!$S$2:$S$333,'(backend scoring)'!$A$2:$A$333,"")</f>
        <v/>
      </c>
      <c r="J257" s="209" t="str">
        <f>IFERROR(VLOOKUP($I257,'Institution Evaluation'!$A$55:$F$345,2,0),IFERROR(VLOOKUP($I257,'Privacy Analyst Evaluation'!$A$46:$F$120,2,0),""))</f>
        <v/>
      </c>
      <c r="K257" s="209" t="str">
        <f>IFERROR(VLOOKUP($I257,'Institution Evaluation'!$A$55:$F$345,3,0),IFERROR(VLOOKUP($I257,'Privacy Analyst Evaluation'!$A$46:$F$120,3,0),""))&amp;""</f>
        <v/>
      </c>
      <c r="L257" s="209" t="str">
        <f>IFERROR(VLOOKUP($I257,'Institution Evaluation'!$A$55:$F$345,4,0),IFERROR(VLOOKUP($I257,'Privacy Analyst Evaluation'!$A$46:$F$120,4,0),""))&amp;""</f>
        <v/>
      </c>
      <c r="M257" s="209" t="str">
        <f>IFERROR(VLOOKUP($I257,'Institution Evaluation'!$A$55:$F$345,6,0),IFERROR(VLOOKUP($I257,'Privacy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2">
      <c r="A258" s="209" t="str">
        <f>IFERROR(IF($A257+1&gt;'(backend scoring)'!$T$335,"",$A257+1),"")</f>
        <v/>
      </c>
      <c r="B258" s="209" t="str">
        <f>_xlfn.XLOOKUP($A258,'(backend scoring)'!$V$2:$V$333,'(backend scoring)'!$A$2:$A$333,"")</f>
        <v/>
      </c>
      <c r="C258" s="209" t="str">
        <f>IFERROR(VLOOKUP($B258,'Institution Evaluation'!$A$55:$F$345,2,0),IFERROR(VLOOKUP($B258,'Privacy Analyst Evaluation'!$A$46:$F$120,2,0),""))&amp;""</f>
        <v/>
      </c>
      <c r="D258" s="209" t="str">
        <f>IFERROR(VLOOKUP($B258,'Institution Evaluation'!$A$55:$F$345,3,0),IFERROR(VLOOKUP($B258,'Privacy Analyst Evaluation'!$A$46:$F$120,3,0),""))&amp;""</f>
        <v/>
      </c>
      <c r="E258" s="209" t="str">
        <f>IFERROR(VLOOKUP($B258,'Institution Evaluation'!$A$55:$F$345,4,0),IFERROR(VLOOKUP($B258,'Privacy Analyst Evaluation'!$A$46:$F$120,4,0),""))&amp;""</f>
        <v/>
      </c>
      <c r="F258" s="209" t="str">
        <f>IFERROR(VLOOKUP($B258,'Institution Evaluation'!$A$55:$F$345,6,0),IFERROR(VLOOKUP($B258,'Privacy Analyst Evaluation'!$A$46:$F$120,6,0),""))&amp;""</f>
        <v/>
      </c>
      <c r="G258" s="210"/>
      <c r="H258" s="209" t="str">
        <f>IFERROR(IF($H257+1&gt;'(backend scoring)'!$Q$335,"",$H257+1),"")</f>
        <v/>
      </c>
      <c r="I258" s="209" t="str">
        <f>_xlfn.XLOOKUP($H258,'(backend scoring)'!$S$2:$S$333,'(backend scoring)'!$A$2:$A$333,"")</f>
        <v/>
      </c>
      <c r="J258" s="209" t="str">
        <f>IFERROR(VLOOKUP($I258,'Institution Evaluation'!$A$55:$F$345,2,0),IFERROR(VLOOKUP($I258,'Privacy Analyst Evaluation'!$A$46:$F$120,2,0),""))</f>
        <v/>
      </c>
      <c r="K258" s="209" t="str">
        <f>IFERROR(VLOOKUP($I258,'Institution Evaluation'!$A$55:$F$345,3,0),IFERROR(VLOOKUP($I258,'Privacy Analyst Evaluation'!$A$46:$F$120,3,0),""))&amp;""</f>
        <v/>
      </c>
      <c r="L258" s="209" t="str">
        <f>IFERROR(VLOOKUP($I258,'Institution Evaluation'!$A$55:$F$345,4,0),IFERROR(VLOOKUP($I258,'Privacy Analyst Evaluation'!$A$46:$F$120,4,0),""))&amp;""</f>
        <v/>
      </c>
      <c r="M258" s="209" t="str">
        <f>IFERROR(VLOOKUP($I258,'Institution Evaluation'!$A$55:$F$345,6,0),IFERROR(VLOOKUP($I258,'Privacy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2">
      <c r="A259" s="209" t="str">
        <f>IFERROR(IF($A258+1&gt;'(backend scoring)'!$T$335,"",$A258+1),"")</f>
        <v/>
      </c>
      <c r="B259" s="209" t="str">
        <f>_xlfn.XLOOKUP($A259,'(backend scoring)'!$V$2:$V$333,'(backend scoring)'!$A$2:$A$333,"")</f>
        <v/>
      </c>
      <c r="C259" s="209" t="str">
        <f>IFERROR(VLOOKUP($B259,'Institution Evaluation'!$A$55:$F$345,2,0),IFERROR(VLOOKUP($B259,'Privacy Analyst Evaluation'!$A$46:$F$120,2,0),""))&amp;""</f>
        <v/>
      </c>
      <c r="D259" s="209" t="str">
        <f>IFERROR(VLOOKUP($B259,'Institution Evaluation'!$A$55:$F$345,3,0),IFERROR(VLOOKUP($B259,'Privacy Analyst Evaluation'!$A$46:$F$120,3,0),""))&amp;""</f>
        <v/>
      </c>
      <c r="E259" s="209" t="str">
        <f>IFERROR(VLOOKUP($B259,'Institution Evaluation'!$A$55:$F$345,4,0),IFERROR(VLOOKUP($B259,'Privacy Analyst Evaluation'!$A$46:$F$120,4,0),""))&amp;""</f>
        <v/>
      </c>
      <c r="F259" s="209" t="str">
        <f>IFERROR(VLOOKUP($B259,'Institution Evaluation'!$A$55:$F$345,6,0),IFERROR(VLOOKUP($B259,'Privacy Analyst Evaluation'!$A$46:$F$120,6,0),""))&amp;""</f>
        <v/>
      </c>
      <c r="G259" s="210"/>
      <c r="H259" s="209" t="str">
        <f>IFERROR(IF($H258+1&gt;'(backend scoring)'!$Q$335,"",$H258+1),"")</f>
        <v/>
      </c>
      <c r="I259" s="209" t="str">
        <f>_xlfn.XLOOKUP($H259,'(backend scoring)'!$S$2:$S$333,'(backend scoring)'!$A$2:$A$333,"")</f>
        <v/>
      </c>
      <c r="J259" s="209" t="str">
        <f>IFERROR(VLOOKUP($I259,'Institution Evaluation'!$A$55:$F$345,2,0),IFERROR(VLOOKUP($I259,'Privacy Analyst Evaluation'!$A$46:$F$120,2,0),""))</f>
        <v/>
      </c>
      <c r="K259" s="209" t="str">
        <f>IFERROR(VLOOKUP($I259,'Institution Evaluation'!$A$55:$F$345,3,0),IFERROR(VLOOKUP($I259,'Privacy Analyst Evaluation'!$A$46:$F$120,3,0),""))&amp;""</f>
        <v/>
      </c>
      <c r="L259" s="209" t="str">
        <f>IFERROR(VLOOKUP($I259,'Institution Evaluation'!$A$55:$F$345,4,0),IFERROR(VLOOKUP($I259,'Privacy Analyst Evaluation'!$A$46:$F$120,4,0),""))&amp;""</f>
        <v/>
      </c>
      <c r="M259" s="209" t="str">
        <f>IFERROR(VLOOKUP($I259,'Institution Evaluation'!$A$55:$F$345,6,0),IFERROR(VLOOKUP($I259,'Privacy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2">
      <c r="A260" s="209" t="str">
        <f>IFERROR(IF($A259+1&gt;'(backend scoring)'!$T$335,"",$A259+1),"")</f>
        <v/>
      </c>
      <c r="B260" s="209" t="str">
        <f>_xlfn.XLOOKUP($A260,'(backend scoring)'!$V$2:$V$333,'(backend scoring)'!$A$2:$A$333,"")</f>
        <v/>
      </c>
      <c r="C260" s="209" t="str">
        <f>IFERROR(VLOOKUP($B260,'Institution Evaluation'!$A$55:$F$345,2,0),IFERROR(VLOOKUP($B260,'Privacy Analyst Evaluation'!$A$46:$F$120,2,0),""))&amp;""</f>
        <v/>
      </c>
      <c r="D260" s="209" t="str">
        <f>IFERROR(VLOOKUP($B260,'Institution Evaluation'!$A$55:$F$345,3,0),IFERROR(VLOOKUP($B260,'Privacy Analyst Evaluation'!$A$46:$F$120,3,0),""))&amp;""</f>
        <v/>
      </c>
      <c r="E260" s="209" t="str">
        <f>IFERROR(VLOOKUP($B260,'Institution Evaluation'!$A$55:$F$345,4,0),IFERROR(VLOOKUP($B260,'Privacy Analyst Evaluation'!$A$46:$F$120,4,0),""))&amp;""</f>
        <v/>
      </c>
      <c r="F260" s="209" t="str">
        <f>IFERROR(VLOOKUP($B260,'Institution Evaluation'!$A$55:$F$345,6,0),IFERROR(VLOOKUP($B260,'Privacy Analyst Evaluation'!$A$46:$F$120,6,0),""))&amp;""</f>
        <v/>
      </c>
      <c r="G260" s="210"/>
      <c r="H260" s="209" t="str">
        <f>IFERROR(IF($H259+1&gt;'(backend scoring)'!$Q$335,"",$H259+1),"")</f>
        <v/>
      </c>
      <c r="I260" s="209" t="str">
        <f>_xlfn.XLOOKUP($H260,'(backend scoring)'!$S$2:$S$333,'(backend scoring)'!$A$2:$A$333,"")</f>
        <v/>
      </c>
      <c r="J260" s="209" t="str">
        <f>IFERROR(VLOOKUP($I260,'Institution Evaluation'!$A$55:$F$345,2,0),IFERROR(VLOOKUP($I260,'Privacy Analyst Evaluation'!$A$46:$F$120,2,0),""))</f>
        <v/>
      </c>
      <c r="K260" s="209" t="str">
        <f>IFERROR(VLOOKUP($I260,'Institution Evaluation'!$A$55:$F$345,3,0),IFERROR(VLOOKUP($I260,'Privacy Analyst Evaluation'!$A$46:$F$120,3,0),""))&amp;""</f>
        <v/>
      </c>
      <c r="L260" s="209" t="str">
        <f>IFERROR(VLOOKUP($I260,'Institution Evaluation'!$A$55:$F$345,4,0),IFERROR(VLOOKUP($I260,'Privacy Analyst Evaluation'!$A$46:$F$120,4,0),""))&amp;""</f>
        <v/>
      </c>
      <c r="M260" s="209" t="str">
        <f>IFERROR(VLOOKUP($I260,'Institution Evaluation'!$A$55:$F$345,6,0),IFERROR(VLOOKUP($I260,'Privacy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2">
      <c r="A261" s="209" t="str">
        <f>IFERROR(IF($A260+1&gt;'(backend scoring)'!$T$335,"",$A260+1),"")</f>
        <v/>
      </c>
      <c r="B261" s="209" t="str">
        <f>_xlfn.XLOOKUP($A261,'(backend scoring)'!$V$2:$V$333,'(backend scoring)'!$A$2:$A$333,"")</f>
        <v/>
      </c>
      <c r="C261" s="209" t="str">
        <f>IFERROR(VLOOKUP($B261,'Institution Evaluation'!$A$55:$F$345,2,0),IFERROR(VLOOKUP($B261,'Privacy Analyst Evaluation'!$A$46:$F$120,2,0),""))&amp;""</f>
        <v/>
      </c>
      <c r="D261" s="209" t="str">
        <f>IFERROR(VLOOKUP($B261,'Institution Evaluation'!$A$55:$F$345,3,0),IFERROR(VLOOKUP($B261,'Privacy Analyst Evaluation'!$A$46:$F$120,3,0),""))&amp;""</f>
        <v/>
      </c>
      <c r="E261" s="209" t="str">
        <f>IFERROR(VLOOKUP($B261,'Institution Evaluation'!$A$55:$F$345,4,0),IFERROR(VLOOKUP($B261,'Privacy Analyst Evaluation'!$A$46:$F$120,4,0),""))&amp;""</f>
        <v/>
      </c>
      <c r="F261" s="209" t="str">
        <f>IFERROR(VLOOKUP($B261,'Institution Evaluation'!$A$55:$F$345,6,0),IFERROR(VLOOKUP($B261,'Privacy Analyst Evaluation'!$A$46:$F$120,6,0),""))&amp;""</f>
        <v/>
      </c>
      <c r="G261" s="210"/>
      <c r="H261" s="209" t="str">
        <f>IFERROR(IF($H260+1&gt;'(backend scoring)'!$Q$335,"",$H260+1),"")</f>
        <v/>
      </c>
      <c r="I261" s="209" t="str">
        <f>_xlfn.XLOOKUP($H261,'(backend scoring)'!$S$2:$S$333,'(backend scoring)'!$A$2:$A$333,"")</f>
        <v/>
      </c>
      <c r="J261" s="209" t="str">
        <f>IFERROR(VLOOKUP($I261,'Institution Evaluation'!$A$55:$F$345,2,0),IFERROR(VLOOKUP($I261,'Privacy Analyst Evaluation'!$A$46:$F$120,2,0),""))</f>
        <v/>
      </c>
      <c r="K261" s="209" t="str">
        <f>IFERROR(VLOOKUP($I261,'Institution Evaluation'!$A$55:$F$345,3,0),IFERROR(VLOOKUP($I261,'Privacy Analyst Evaluation'!$A$46:$F$120,3,0),""))&amp;""</f>
        <v/>
      </c>
      <c r="L261" s="209" t="str">
        <f>IFERROR(VLOOKUP($I261,'Institution Evaluation'!$A$55:$F$345,4,0),IFERROR(VLOOKUP($I261,'Privacy Analyst Evaluation'!$A$46:$F$120,4,0),""))&amp;""</f>
        <v/>
      </c>
      <c r="M261" s="209" t="str">
        <f>IFERROR(VLOOKUP($I261,'Institution Evaluation'!$A$55:$F$345,6,0),IFERROR(VLOOKUP($I261,'Privacy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2">
      <c r="A262" s="209" t="str">
        <f>IFERROR(IF($A261+1&gt;'(backend scoring)'!$T$335,"",$A261+1),"")</f>
        <v/>
      </c>
      <c r="B262" s="209" t="str">
        <f>_xlfn.XLOOKUP($A262,'(backend scoring)'!$V$2:$V$333,'(backend scoring)'!$A$2:$A$333,"")</f>
        <v/>
      </c>
      <c r="C262" s="209" t="str">
        <f>IFERROR(VLOOKUP($B262,'Institution Evaluation'!$A$55:$F$345,2,0),IFERROR(VLOOKUP($B262,'Privacy Analyst Evaluation'!$A$46:$F$120,2,0),""))&amp;""</f>
        <v/>
      </c>
      <c r="D262" s="209" t="str">
        <f>IFERROR(VLOOKUP($B262,'Institution Evaluation'!$A$55:$F$345,3,0),IFERROR(VLOOKUP($B262,'Privacy Analyst Evaluation'!$A$46:$F$120,3,0),""))&amp;""</f>
        <v/>
      </c>
      <c r="E262" s="209" t="str">
        <f>IFERROR(VLOOKUP($B262,'Institution Evaluation'!$A$55:$F$345,4,0),IFERROR(VLOOKUP($B262,'Privacy Analyst Evaluation'!$A$46:$F$120,4,0),""))&amp;""</f>
        <v/>
      </c>
      <c r="F262" s="209" t="str">
        <f>IFERROR(VLOOKUP($B262,'Institution Evaluation'!$A$55:$F$345,6,0),IFERROR(VLOOKUP($B262,'Privacy Analyst Evaluation'!$A$46:$F$120,6,0),""))&amp;""</f>
        <v/>
      </c>
      <c r="G262" s="210"/>
      <c r="H262" s="209" t="str">
        <f>IFERROR(IF($H261+1&gt;'(backend scoring)'!$Q$335,"",$H261+1),"")</f>
        <v/>
      </c>
      <c r="I262" s="209" t="str">
        <f>_xlfn.XLOOKUP($H262,'(backend scoring)'!$S$2:$S$333,'(backend scoring)'!$A$2:$A$333,"")</f>
        <v/>
      </c>
      <c r="J262" s="209" t="str">
        <f>IFERROR(VLOOKUP($I262,'Institution Evaluation'!$A$55:$F$345,2,0),IFERROR(VLOOKUP($I262,'Privacy Analyst Evaluation'!$A$46:$F$120,2,0),""))</f>
        <v/>
      </c>
      <c r="K262" s="209" t="str">
        <f>IFERROR(VLOOKUP($I262,'Institution Evaluation'!$A$55:$F$345,3,0),IFERROR(VLOOKUP($I262,'Privacy Analyst Evaluation'!$A$46:$F$120,3,0),""))&amp;""</f>
        <v/>
      </c>
      <c r="L262" s="209" t="str">
        <f>IFERROR(VLOOKUP($I262,'Institution Evaluation'!$A$55:$F$345,4,0),IFERROR(VLOOKUP($I262,'Privacy Analyst Evaluation'!$A$46:$F$120,4,0),""))&amp;""</f>
        <v/>
      </c>
      <c r="M262" s="209" t="str">
        <f>IFERROR(VLOOKUP($I262,'Institution Evaluation'!$A$55:$F$345,6,0),IFERROR(VLOOKUP($I262,'Privacy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2">
      <c r="A263" s="209" t="str">
        <f>IFERROR(IF($A262+1&gt;'(backend scoring)'!$T$335,"",$A262+1),"")</f>
        <v/>
      </c>
      <c r="B263" s="209" t="str">
        <f>_xlfn.XLOOKUP($A263,'(backend scoring)'!$V$2:$V$333,'(backend scoring)'!$A$2:$A$333,"")</f>
        <v/>
      </c>
      <c r="C263" s="209" t="str">
        <f>IFERROR(VLOOKUP($B263,'Institution Evaluation'!$A$55:$F$345,2,0),IFERROR(VLOOKUP($B263,'Privacy Analyst Evaluation'!$A$46:$F$120,2,0),""))&amp;""</f>
        <v/>
      </c>
      <c r="D263" s="209" t="str">
        <f>IFERROR(VLOOKUP($B263,'Institution Evaluation'!$A$55:$F$345,3,0),IFERROR(VLOOKUP($B263,'Privacy Analyst Evaluation'!$A$46:$F$120,3,0),""))&amp;""</f>
        <v/>
      </c>
      <c r="E263" s="209" t="str">
        <f>IFERROR(VLOOKUP($B263,'Institution Evaluation'!$A$55:$F$345,4,0),IFERROR(VLOOKUP($B263,'Privacy Analyst Evaluation'!$A$46:$F$120,4,0),""))&amp;""</f>
        <v/>
      </c>
      <c r="F263" s="209" t="str">
        <f>IFERROR(VLOOKUP($B263,'Institution Evaluation'!$A$55:$F$345,6,0),IFERROR(VLOOKUP($B263,'Privacy Analyst Evaluation'!$A$46:$F$120,6,0),""))&amp;""</f>
        <v/>
      </c>
      <c r="G263" s="210"/>
      <c r="H263" s="209" t="str">
        <f>IFERROR(IF($H262+1&gt;'(backend scoring)'!$Q$335,"",$H262+1),"")</f>
        <v/>
      </c>
      <c r="I263" s="209" t="str">
        <f>_xlfn.XLOOKUP($H263,'(backend scoring)'!$S$2:$S$333,'(backend scoring)'!$A$2:$A$333,"")</f>
        <v/>
      </c>
      <c r="J263" s="209" t="str">
        <f>IFERROR(VLOOKUP($I263,'Institution Evaluation'!$A$55:$F$345,2,0),IFERROR(VLOOKUP($I263,'Privacy Analyst Evaluation'!$A$46:$F$120,2,0),""))</f>
        <v/>
      </c>
      <c r="K263" s="209" t="str">
        <f>IFERROR(VLOOKUP($I263,'Institution Evaluation'!$A$55:$F$345,3,0),IFERROR(VLOOKUP($I263,'Privacy Analyst Evaluation'!$A$46:$F$120,3,0),""))&amp;""</f>
        <v/>
      </c>
      <c r="L263" s="209" t="str">
        <f>IFERROR(VLOOKUP($I263,'Institution Evaluation'!$A$55:$F$345,4,0),IFERROR(VLOOKUP($I263,'Privacy Analyst Evaluation'!$A$46:$F$120,4,0),""))&amp;""</f>
        <v/>
      </c>
      <c r="M263" s="209" t="str">
        <f>IFERROR(VLOOKUP($I263,'Institution Evaluation'!$A$55:$F$345,6,0),IFERROR(VLOOKUP($I263,'Privacy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2">
      <c r="A264" s="209" t="str">
        <f>IFERROR(IF($A263+1&gt;'(backend scoring)'!$T$335,"",$A263+1),"")</f>
        <v/>
      </c>
      <c r="B264" s="209" t="str">
        <f>_xlfn.XLOOKUP($A264,'(backend scoring)'!$V$2:$V$333,'(backend scoring)'!$A$2:$A$333,"")</f>
        <v/>
      </c>
      <c r="C264" s="209" t="str">
        <f>IFERROR(VLOOKUP($B264,'Institution Evaluation'!$A$55:$F$345,2,0),IFERROR(VLOOKUP($B264,'Privacy Analyst Evaluation'!$A$46:$F$120,2,0),""))&amp;""</f>
        <v/>
      </c>
      <c r="D264" s="209" t="str">
        <f>IFERROR(VLOOKUP($B264,'Institution Evaluation'!$A$55:$F$345,3,0),IFERROR(VLOOKUP($B264,'Privacy Analyst Evaluation'!$A$46:$F$120,3,0),""))&amp;""</f>
        <v/>
      </c>
      <c r="E264" s="209" t="str">
        <f>IFERROR(VLOOKUP($B264,'Institution Evaluation'!$A$55:$F$345,4,0),IFERROR(VLOOKUP($B264,'Privacy Analyst Evaluation'!$A$46:$F$120,4,0),""))&amp;""</f>
        <v/>
      </c>
      <c r="F264" s="209" t="str">
        <f>IFERROR(VLOOKUP($B264,'Institution Evaluation'!$A$55:$F$345,6,0),IFERROR(VLOOKUP($B264,'Privacy Analyst Evaluation'!$A$46:$F$120,6,0),""))&amp;""</f>
        <v/>
      </c>
      <c r="G264" s="210"/>
      <c r="H264" s="209" t="str">
        <f>IFERROR(IF($H263+1&gt;'(backend scoring)'!$Q$335,"",$H263+1),"")</f>
        <v/>
      </c>
      <c r="I264" s="209" t="str">
        <f>_xlfn.XLOOKUP($H264,'(backend scoring)'!$S$2:$S$333,'(backend scoring)'!$A$2:$A$333,"")</f>
        <v/>
      </c>
      <c r="J264" s="209" t="str">
        <f>IFERROR(VLOOKUP($I264,'Institution Evaluation'!$A$55:$F$345,2,0),IFERROR(VLOOKUP($I264,'Privacy Analyst Evaluation'!$A$46:$F$120,2,0),""))</f>
        <v/>
      </c>
      <c r="K264" s="209" t="str">
        <f>IFERROR(VLOOKUP($I264,'Institution Evaluation'!$A$55:$F$345,3,0),IFERROR(VLOOKUP($I264,'Privacy Analyst Evaluation'!$A$46:$F$120,3,0),""))&amp;""</f>
        <v/>
      </c>
      <c r="L264" s="209" t="str">
        <f>IFERROR(VLOOKUP($I264,'Institution Evaluation'!$A$55:$F$345,4,0),IFERROR(VLOOKUP($I264,'Privacy Analyst Evaluation'!$A$46:$F$120,4,0),""))&amp;""</f>
        <v/>
      </c>
      <c r="M264" s="209" t="str">
        <f>IFERROR(VLOOKUP($I264,'Institution Evaluation'!$A$55:$F$345,6,0),IFERROR(VLOOKUP($I264,'Privacy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2">
      <c r="A265" s="209" t="str">
        <f>IFERROR(IF($A264+1&gt;'(backend scoring)'!$T$335,"",$A264+1),"")</f>
        <v/>
      </c>
      <c r="B265" s="209" t="str">
        <f>_xlfn.XLOOKUP($A265,'(backend scoring)'!$V$2:$V$333,'(backend scoring)'!$A$2:$A$333,"")</f>
        <v/>
      </c>
      <c r="C265" s="209" t="str">
        <f>IFERROR(VLOOKUP($B265,'Institution Evaluation'!$A$55:$F$345,2,0),IFERROR(VLOOKUP($B265,'Privacy Analyst Evaluation'!$A$46:$F$120,2,0),""))&amp;""</f>
        <v/>
      </c>
      <c r="D265" s="209" t="str">
        <f>IFERROR(VLOOKUP($B265,'Institution Evaluation'!$A$55:$F$345,3,0),IFERROR(VLOOKUP($B265,'Privacy Analyst Evaluation'!$A$46:$F$120,3,0),""))&amp;""</f>
        <v/>
      </c>
      <c r="E265" s="209" t="str">
        <f>IFERROR(VLOOKUP($B265,'Institution Evaluation'!$A$55:$F$345,4,0),IFERROR(VLOOKUP($B265,'Privacy Analyst Evaluation'!$A$46:$F$120,4,0),""))&amp;""</f>
        <v/>
      </c>
      <c r="F265" s="209" t="str">
        <f>IFERROR(VLOOKUP($B265,'Institution Evaluation'!$A$55:$F$345,6,0),IFERROR(VLOOKUP($B265,'Privacy Analyst Evaluation'!$A$46:$F$120,6,0),""))&amp;""</f>
        <v/>
      </c>
      <c r="G265" s="210"/>
      <c r="H265" s="209" t="str">
        <f>IFERROR(IF($H264+1&gt;'(backend scoring)'!$Q$335,"",$H264+1),"")</f>
        <v/>
      </c>
      <c r="I265" s="209" t="str">
        <f>_xlfn.XLOOKUP($H265,'(backend scoring)'!$S$2:$S$333,'(backend scoring)'!$A$2:$A$333,"")</f>
        <v/>
      </c>
      <c r="J265" s="209" t="str">
        <f>IFERROR(VLOOKUP($I265,'Institution Evaluation'!$A$55:$F$345,2,0),IFERROR(VLOOKUP($I265,'Privacy Analyst Evaluation'!$A$46:$F$120,2,0),""))</f>
        <v/>
      </c>
      <c r="K265" s="209" t="str">
        <f>IFERROR(VLOOKUP($I265,'Institution Evaluation'!$A$55:$F$345,3,0),IFERROR(VLOOKUP($I265,'Privacy Analyst Evaluation'!$A$46:$F$120,3,0),""))&amp;""</f>
        <v/>
      </c>
      <c r="L265" s="209" t="str">
        <f>IFERROR(VLOOKUP($I265,'Institution Evaluation'!$A$55:$F$345,4,0),IFERROR(VLOOKUP($I265,'Privacy Analyst Evaluation'!$A$46:$F$120,4,0),""))&amp;""</f>
        <v/>
      </c>
      <c r="M265" s="209" t="str">
        <f>IFERROR(VLOOKUP($I265,'Institution Evaluation'!$A$55:$F$345,6,0),IFERROR(VLOOKUP($I265,'Privacy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2">
      <c r="A266" s="209" t="str">
        <f>IFERROR(IF($A265+1&gt;'(backend scoring)'!$T$335,"",$A265+1),"")</f>
        <v/>
      </c>
      <c r="B266" s="209" t="str">
        <f>_xlfn.XLOOKUP($A266,'(backend scoring)'!$V$2:$V$333,'(backend scoring)'!$A$2:$A$333,"")</f>
        <v/>
      </c>
      <c r="C266" s="209" t="str">
        <f>IFERROR(VLOOKUP($B266,'Institution Evaluation'!$A$55:$F$345,2,0),IFERROR(VLOOKUP($B266,'Privacy Analyst Evaluation'!$A$46:$F$120,2,0),""))&amp;""</f>
        <v/>
      </c>
      <c r="D266" s="209" t="str">
        <f>IFERROR(VLOOKUP($B266,'Institution Evaluation'!$A$55:$F$345,3,0),IFERROR(VLOOKUP($B266,'Privacy Analyst Evaluation'!$A$46:$F$120,3,0),""))&amp;""</f>
        <v/>
      </c>
      <c r="E266" s="209" t="str">
        <f>IFERROR(VLOOKUP($B266,'Institution Evaluation'!$A$55:$F$345,4,0),IFERROR(VLOOKUP($B266,'Privacy Analyst Evaluation'!$A$46:$F$120,4,0),""))&amp;""</f>
        <v/>
      </c>
      <c r="F266" s="209" t="str">
        <f>IFERROR(VLOOKUP($B266,'Institution Evaluation'!$A$55:$F$345,6,0),IFERROR(VLOOKUP($B266,'Privacy Analyst Evaluation'!$A$46:$F$120,6,0),""))&amp;""</f>
        <v/>
      </c>
      <c r="G266" s="210"/>
      <c r="H266" s="209" t="str">
        <f>IFERROR(IF($H265+1&gt;'(backend scoring)'!$Q$335,"",$H265+1),"")</f>
        <v/>
      </c>
      <c r="I266" s="209" t="str">
        <f>_xlfn.XLOOKUP($H266,'(backend scoring)'!$S$2:$S$333,'(backend scoring)'!$A$2:$A$333,"")</f>
        <v/>
      </c>
      <c r="J266" s="209" t="str">
        <f>IFERROR(VLOOKUP($I266,'Institution Evaluation'!$A$55:$F$345,2,0),IFERROR(VLOOKUP($I266,'Privacy Analyst Evaluation'!$A$46:$F$120,2,0),""))</f>
        <v/>
      </c>
      <c r="K266" s="209" t="str">
        <f>IFERROR(VLOOKUP($I266,'Institution Evaluation'!$A$55:$F$345,3,0),IFERROR(VLOOKUP($I266,'Privacy Analyst Evaluation'!$A$46:$F$120,3,0),""))&amp;""</f>
        <v/>
      </c>
      <c r="L266" s="209" t="str">
        <f>IFERROR(VLOOKUP($I266,'Institution Evaluation'!$A$55:$F$345,4,0),IFERROR(VLOOKUP($I266,'Privacy Analyst Evaluation'!$A$46:$F$120,4,0),""))&amp;""</f>
        <v/>
      </c>
      <c r="M266" s="209" t="str">
        <f>IFERROR(VLOOKUP($I266,'Institution Evaluation'!$A$55:$F$345,6,0),IFERROR(VLOOKUP($I266,'Privacy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2">
      <c r="A267" s="209" t="str">
        <f>IFERROR(IF($A266+1&gt;'(backend scoring)'!$T$335,"",$A266+1),"")</f>
        <v/>
      </c>
      <c r="B267" s="209" t="str">
        <f>_xlfn.XLOOKUP($A267,'(backend scoring)'!$V$2:$V$333,'(backend scoring)'!$A$2:$A$333,"")</f>
        <v/>
      </c>
      <c r="C267" s="209" t="str">
        <f>IFERROR(VLOOKUP($B267,'Institution Evaluation'!$A$55:$F$345,2,0),IFERROR(VLOOKUP($B267,'Privacy Analyst Evaluation'!$A$46:$F$120,2,0),""))&amp;""</f>
        <v/>
      </c>
      <c r="D267" s="209" t="str">
        <f>IFERROR(VLOOKUP($B267,'Institution Evaluation'!$A$55:$F$345,3,0),IFERROR(VLOOKUP($B267,'Privacy Analyst Evaluation'!$A$46:$F$120,3,0),""))&amp;""</f>
        <v/>
      </c>
      <c r="E267" s="209" t="str">
        <f>IFERROR(VLOOKUP($B267,'Institution Evaluation'!$A$55:$F$345,4,0),IFERROR(VLOOKUP($B267,'Privacy Analyst Evaluation'!$A$46:$F$120,4,0),""))&amp;""</f>
        <v/>
      </c>
      <c r="F267" s="209" t="str">
        <f>IFERROR(VLOOKUP($B267,'Institution Evaluation'!$A$55:$F$345,6,0),IFERROR(VLOOKUP($B267,'Privacy Analyst Evaluation'!$A$46:$F$120,6,0),""))&amp;""</f>
        <v/>
      </c>
      <c r="G267" s="210"/>
      <c r="H267" s="209" t="str">
        <f>IFERROR(IF($H266+1&gt;'(backend scoring)'!$Q$335,"",$H266+1),"")</f>
        <v/>
      </c>
      <c r="I267" s="209" t="str">
        <f>_xlfn.XLOOKUP($H267,'(backend scoring)'!$S$2:$S$333,'(backend scoring)'!$A$2:$A$333,"")</f>
        <v/>
      </c>
      <c r="J267" s="209" t="str">
        <f>IFERROR(VLOOKUP($I267,'Institution Evaluation'!$A$55:$F$345,2,0),IFERROR(VLOOKUP($I267,'Privacy Analyst Evaluation'!$A$46:$F$120,2,0),""))</f>
        <v/>
      </c>
      <c r="K267" s="209" t="str">
        <f>IFERROR(VLOOKUP($I267,'Institution Evaluation'!$A$55:$F$345,3,0),IFERROR(VLOOKUP($I267,'Privacy Analyst Evaluation'!$A$46:$F$120,3,0),""))&amp;""</f>
        <v/>
      </c>
      <c r="L267" s="209" t="str">
        <f>IFERROR(VLOOKUP($I267,'Institution Evaluation'!$A$55:$F$345,4,0),IFERROR(VLOOKUP($I267,'Privacy Analyst Evaluation'!$A$46:$F$120,4,0),""))&amp;""</f>
        <v/>
      </c>
      <c r="M267" s="209" t="str">
        <f>IFERROR(VLOOKUP($I267,'Institution Evaluation'!$A$55:$F$345,6,0),IFERROR(VLOOKUP($I267,'Privacy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2">
      <c r="A268" s="209" t="str">
        <f>IFERROR(IF($A267+1&gt;'(backend scoring)'!$T$335,"",$A267+1),"")</f>
        <v/>
      </c>
      <c r="B268" s="209" t="str">
        <f>_xlfn.XLOOKUP($A268,'(backend scoring)'!$V$2:$V$333,'(backend scoring)'!$A$2:$A$333,"")</f>
        <v/>
      </c>
      <c r="C268" s="209" t="str">
        <f>IFERROR(VLOOKUP($B268,'Institution Evaluation'!$A$55:$F$345,2,0),IFERROR(VLOOKUP($B268,'Privacy Analyst Evaluation'!$A$46:$F$120,2,0),""))&amp;""</f>
        <v/>
      </c>
      <c r="D268" s="209" t="str">
        <f>IFERROR(VLOOKUP($B268,'Institution Evaluation'!$A$55:$F$345,3,0),IFERROR(VLOOKUP($B268,'Privacy Analyst Evaluation'!$A$46:$F$120,3,0),""))&amp;""</f>
        <v/>
      </c>
      <c r="E268" s="209" t="str">
        <f>IFERROR(VLOOKUP($B268,'Institution Evaluation'!$A$55:$F$345,4,0),IFERROR(VLOOKUP($B268,'Privacy Analyst Evaluation'!$A$46:$F$120,4,0),""))&amp;""</f>
        <v/>
      </c>
      <c r="F268" s="209" t="str">
        <f>IFERROR(VLOOKUP($B268,'Institution Evaluation'!$A$55:$F$345,6,0),IFERROR(VLOOKUP($B268,'Privacy Analyst Evaluation'!$A$46:$F$120,6,0),""))&amp;""</f>
        <v/>
      </c>
      <c r="G268" s="210"/>
      <c r="H268" s="209" t="str">
        <f>IFERROR(IF($H267+1&gt;'(backend scoring)'!$Q$335,"",$H267+1),"")</f>
        <v/>
      </c>
      <c r="I268" s="209" t="str">
        <f>_xlfn.XLOOKUP($H268,'(backend scoring)'!$S$2:$S$333,'(backend scoring)'!$A$2:$A$333,"")</f>
        <v/>
      </c>
      <c r="J268" s="209" t="str">
        <f>IFERROR(VLOOKUP($I268,'Institution Evaluation'!$A$55:$F$345,2,0),IFERROR(VLOOKUP($I268,'Privacy Analyst Evaluation'!$A$46:$F$120,2,0),""))</f>
        <v/>
      </c>
      <c r="K268" s="209" t="str">
        <f>IFERROR(VLOOKUP($I268,'Institution Evaluation'!$A$55:$F$345,3,0),IFERROR(VLOOKUP($I268,'Privacy Analyst Evaluation'!$A$46:$F$120,3,0),""))&amp;""</f>
        <v/>
      </c>
      <c r="L268" s="209" t="str">
        <f>IFERROR(VLOOKUP($I268,'Institution Evaluation'!$A$55:$F$345,4,0),IFERROR(VLOOKUP($I268,'Privacy Analyst Evaluation'!$A$46:$F$120,4,0),""))&amp;""</f>
        <v/>
      </c>
      <c r="M268" s="209" t="str">
        <f>IFERROR(VLOOKUP($I268,'Institution Evaluation'!$A$55:$F$345,6,0),IFERROR(VLOOKUP($I268,'Privacy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2">
      <c r="A269" s="209" t="str">
        <f>IFERROR(IF($A268+1&gt;'(backend scoring)'!$T$335,"",$A268+1),"")</f>
        <v/>
      </c>
      <c r="B269" s="209" t="str">
        <f>_xlfn.XLOOKUP($A269,'(backend scoring)'!$V$2:$V$333,'(backend scoring)'!$A$2:$A$333,"")</f>
        <v/>
      </c>
      <c r="C269" s="209" t="str">
        <f>IFERROR(VLOOKUP($B269,'Institution Evaluation'!$A$55:$F$345,2,0),IFERROR(VLOOKUP($B269,'Privacy Analyst Evaluation'!$A$46:$F$120,2,0),""))&amp;""</f>
        <v/>
      </c>
      <c r="D269" s="209" t="str">
        <f>IFERROR(VLOOKUP($B269,'Institution Evaluation'!$A$55:$F$345,3,0),IFERROR(VLOOKUP($B269,'Privacy Analyst Evaluation'!$A$46:$F$120,3,0),""))&amp;""</f>
        <v/>
      </c>
      <c r="E269" s="209" t="str">
        <f>IFERROR(VLOOKUP($B269,'Institution Evaluation'!$A$55:$F$345,4,0),IFERROR(VLOOKUP($B269,'Privacy Analyst Evaluation'!$A$46:$F$120,4,0),""))&amp;""</f>
        <v/>
      </c>
      <c r="F269" s="209" t="str">
        <f>IFERROR(VLOOKUP($B269,'Institution Evaluation'!$A$55:$F$345,6,0),IFERROR(VLOOKUP($B269,'Privacy Analyst Evaluation'!$A$46:$F$120,6,0),""))&amp;""</f>
        <v/>
      </c>
      <c r="G269" s="210"/>
      <c r="H269" s="209" t="str">
        <f>IFERROR(IF($H268+1&gt;'(backend scoring)'!$Q$335,"",$H268+1),"")</f>
        <v/>
      </c>
      <c r="I269" s="209" t="str">
        <f>_xlfn.XLOOKUP($H269,'(backend scoring)'!$S$2:$S$333,'(backend scoring)'!$A$2:$A$333,"")</f>
        <v/>
      </c>
      <c r="J269" s="209" t="str">
        <f>IFERROR(VLOOKUP($I269,'Institution Evaluation'!$A$55:$F$345,2,0),IFERROR(VLOOKUP($I269,'Privacy Analyst Evaluation'!$A$46:$F$120,2,0),""))</f>
        <v/>
      </c>
      <c r="K269" s="209" t="str">
        <f>IFERROR(VLOOKUP($I269,'Institution Evaluation'!$A$55:$F$345,3,0),IFERROR(VLOOKUP($I269,'Privacy Analyst Evaluation'!$A$46:$F$120,3,0),""))&amp;""</f>
        <v/>
      </c>
      <c r="L269" s="209" t="str">
        <f>IFERROR(VLOOKUP($I269,'Institution Evaluation'!$A$55:$F$345,4,0),IFERROR(VLOOKUP($I269,'Privacy Analyst Evaluation'!$A$46:$F$120,4,0),""))&amp;""</f>
        <v/>
      </c>
      <c r="M269" s="209" t="str">
        <f>IFERROR(VLOOKUP($I269,'Institution Evaluation'!$A$55:$F$345,6,0),IFERROR(VLOOKUP($I269,'Privacy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2">
      <c r="A270" s="209" t="str">
        <f>IFERROR(IF($A269+1&gt;'(backend scoring)'!$T$335,"",$A269+1),"")</f>
        <v/>
      </c>
      <c r="B270" s="209" t="str">
        <f>_xlfn.XLOOKUP($A270,'(backend scoring)'!$V$2:$V$333,'(backend scoring)'!$A$2:$A$333,"")</f>
        <v/>
      </c>
      <c r="C270" s="209" t="str">
        <f>IFERROR(VLOOKUP($B270,'Institution Evaluation'!$A$55:$F$345,2,0),IFERROR(VLOOKUP($B270,'Privacy Analyst Evaluation'!$A$46:$F$120,2,0),""))&amp;""</f>
        <v/>
      </c>
      <c r="D270" s="209" t="str">
        <f>IFERROR(VLOOKUP($B270,'Institution Evaluation'!$A$55:$F$345,3,0),IFERROR(VLOOKUP($B270,'Privacy Analyst Evaluation'!$A$46:$F$120,3,0),""))&amp;""</f>
        <v/>
      </c>
      <c r="E270" s="209" t="str">
        <f>IFERROR(VLOOKUP($B270,'Institution Evaluation'!$A$55:$F$345,4,0),IFERROR(VLOOKUP($B270,'Privacy Analyst Evaluation'!$A$46:$F$120,4,0),""))&amp;""</f>
        <v/>
      </c>
      <c r="F270" s="209" t="str">
        <f>IFERROR(VLOOKUP($B270,'Institution Evaluation'!$A$55:$F$345,6,0),IFERROR(VLOOKUP($B270,'Privacy Analyst Evaluation'!$A$46:$F$120,6,0),""))&amp;""</f>
        <v/>
      </c>
      <c r="G270" s="210"/>
      <c r="H270" s="209" t="str">
        <f>IFERROR(IF($H269+1&gt;'(backend scoring)'!$Q$335,"",$H269+1),"")</f>
        <v/>
      </c>
      <c r="I270" s="209" t="str">
        <f>_xlfn.XLOOKUP($H270,'(backend scoring)'!$S$2:$S$333,'(backend scoring)'!$A$2:$A$333,"")</f>
        <v/>
      </c>
      <c r="J270" s="209" t="str">
        <f>IFERROR(VLOOKUP($I270,'Institution Evaluation'!$A$55:$F$345,2,0),IFERROR(VLOOKUP($I270,'Privacy Analyst Evaluation'!$A$46:$F$120,2,0),""))</f>
        <v/>
      </c>
      <c r="K270" s="209" t="str">
        <f>IFERROR(VLOOKUP($I270,'Institution Evaluation'!$A$55:$F$345,3,0),IFERROR(VLOOKUP($I270,'Privacy Analyst Evaluation'!$A$46:$F$120,3,0),""))&amp;""</f>
        <v/>
      </c>
      <c r="L270" s="209" t="str">
        <f>IFERROR(VLOOKUP($I270,'Institution Evaluation'!$A$55:$F$345,4,0),IFERROR(VLOOKUP($I270,'Privacy Analyst Evaluation'!$A$46:$F$120,4,0),""))&amp;""</f>
        <v/>
      </c>
      <c r="M270" s="209" t="str">
        <f>IFERROR(VLOOKUP($I270,'Institution Evaluation'!$A$55:$F$345,6,0),IFERROR(VLOOKUP($I270,'Privacy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2">
      <c r="A271" s="209" t="str">
        <f>IFERROR(IF($A270+1&gt;'(backend scoring)'!$T$335,"",$A270+1),"")</f>
        <v/>
      </c>
      <c r="B271" s="209" t="str">
        <f>_xlfn.XLOOKUP($A271,'(backend scoring)'!$V$2:$V$333,'(backend scoring)'!$A$2:$A$333,"")</f>
        <v/>
      </c>
      <c r="C271" s="209" t="str">
        <f>IFERROR(VLOOKUP($B271,'Institution Evaluation'!$A$55:$F$345,2,0),IFERROR(VLOOKUP($B271,'Privacy Analyst Evaluation'!$A$46:$F$120,2,0),""))&amp;""</f>
        <v/>
      </c>
      <c r="D271" s="209" t="str">
        <f>IFERROR(VLOOKUP($B271,'Institution Evaluation'!$A$55:$F$345,3,0),IFERROR(VLOOKUP($B271,'Privacy Analyst Evaluation'!$A$46:$F$120,3,0),""))&amp;""</f>
        <v/>
      </c>
      <c r="E271" s="209" t="str">
        <f>IFERROR(VLOOKUP($B271,'Institution Evaluation'!$A$55:$F$345,4,0),IFERROR(VLOOKUP($B271,'Privacy Analyst Evaluation'!$A$46:$F$120,4,0),""))&amp;""</f>
        <v/>
      </c>
      <c r="F271" s="209" t="str">
        <f>IFERROR(VLOOKUP($B271,'Institution Evaluation'!$A$55:$F$345,6,0),IFERROR(VLOOKUP($B271,'Privacy Analyst Evaluation'!$A$46:$F$120,6,0),""))&amp;""</f>
        <v/>
      </c>
      <c r="G271" s="210"/>
      <c r="H271" s="209" t="str">
        <f>IFERROR(IF($H270+1&gt;'(backend scoring)'!$Q$335,"",$H270+1),"")</f>
        <v/>
      </c>
      <c r="I271" s="209" t="str">
        <f>_xlfn.XLOOKUP($H271,'(backend scoring)'!$S$2:$S$333,'(backend scoring)'!$A$2:$A$333,"")</f>
        <v/>
      </c>
      <c r="J271" s="209" t="str">
        <f>IFERROR(VLOOKUP($I271,'Institution Evaluation'!$A$55:$F$345,2,0),IFERROR(VLOOKUP($I271,'Privacy Analyst Evaluation'!$A$46:$F$120,2,0),""))</f>
        <v/>
      </c>
      <c r="K271" s="209" t="str">
        <f>IFERROR(VLOOKUP($I271,'Institution Evaluation'!$A$55:$F$345,3,0),IFERROR(VLOOKUP($I271,'Privacy Analyst Evaluation'!$A$46:$F$120,3,0),""))&amp;""</f>
        <v/>
      </c>
      <c r="L271" s="209" t="str">
        <f>IFERROR(VLOOKUP($I271,'Institution Evaluation'!$A$55:$F$345,4,0),IFERROR(VLOOKUP($I271,'Privacy Analyst Evaluation'!$A$46:$F$120,4,0),""))&amp;""</f>
        <v/>
      </c>
      <c r="M271" s="209" t="str">
        <f>IFERROR(VLOOKUP($I271,'Institution Evaluation'!$A$55:$F$345,6,0),IFERROR(VLOOKUP($I271,'Privacy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2">
      <c r="A272" s="209" t="str">
        <f>IFERROR(IF($A271+1&gt;'(backend scoring)'!$T$335,"",$A271+1),"")</f>
        <v/>
      </c>
      <c r="B272" s="209" t="str">
        <f>_xlfn.XLOOKUP($A272,'(backend scoring)'!$V$2:$V$333,'(backend scoring)'!$A$2:$A$333,"")</f>
        <v/>
      </c>
      <c r="C272" s="209" t="str">
        <f>IFERROR(VLOOKUP($B272,'Institution Evaluation'!$A$55:$F$345,2,0),IFERROR(VLOOKUP($B272,'Privacy Analyst Evaluation'!$A$46:$F$120,2,0),""))&amp;""</f>
        <v/>
      </c>
      <c r="D272" s="209" t="str">
        <f>IFERROR(VLOOKUP($B272,'Institution Evaluation'!$A$55:$F$345,3,0),IFERROR(VLOOKUP($B272,'Privacy Analyst Evaluation'!$A$46:$F$120,3,0),""))&amp;""</f>
        <v/>
      </c>
      <c r="E272" s="209" t="str">
        <f>IFERROR(VLOOKUP($B272,'Institution Evaluation'!$A$55:$F$345,4,0),IFERROR(VLOOKUP($B272,'Privacy Analyst Evaluation'!$A$46:$F$120,4,0),""))&amp;""</f>
        <v/>
      </c>
      <c r="F272" s="209" t="str">
        <f>IFERROR(VLOOKUP($B272,'Institution Evaluation'!$A$55:$F$345,6,0),IFERROR(VLOOKUP($B272,'Privacy Analyst Evaluation'!$A$46:$F$120,6,0),""))&amp;""</f>
        <v/>
      </c>
      <c r="G272" s="210"/>
      <c r="H272" s="209" t="str">
        <f>IFERROR(IF($H271+1&gt;'(backend scoring)'!$Q$335,"",$H271+1),"")</f>
        <v/>
      </c>
      <c r="I272" s="209" t="str">
        <f>_xlfn.XLOOKUP($H272,'(backend scoring)'!$S$2:$S$333,'(backend scoring)'!$A$2:$A$333,"")</f>
        <v/>
      </c>
      <c r="J272" s="209" t="str">
        <f>IFERROR(VLOOKUP($I272,'Institution Evaluation'!$A$55:$F$345,2,0),IFERROR(VLOOKUP($I272,'Privacy Analyst Evaluation'!$A$46:$F$120,2,0),""))</f>
        <v/>
      </c>
      <c r="K272" s="209" t="str">
        <f>IFERROR(VLOOKUP($I272,'Institution Evaluation'!$A$55:$F$345,3,0),IFERROR(VLOOKUP($I272,'Privacy Analyst Evaluation'!$A$46:$F$120,3,0),""))&amp;""</f>
        <v/>
      </c>
      <c r="L272" s="209" t="str">
        <f>IFERROR(VLOOKUP($I272,'Institution Evaluation'!$A$55:$F$345,4,0),IFERROR(VLOOKUP($I272,'Privacy Analyst Evaluation'!$A$46:$F$120,4,0),""))&amp;""</f>
        <v/>
      </c>
      <c r="M272" s="209" t="str">
        <f>IFERROR(VLOOKUP($I272,'Institution Evaluation'!$A$55:$F$345,6,0),IFERROR(VLOOKUP($I272,'Privacy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2">
      <c r="A273" s="209" t="str">
        <f>IFERROR(IF($A272+1&gt;'(backend scoring)'!$T$335,"",$A272+1),"")</f>
        <v/>
      </c>
      <c r="B273" s="209" t="str">
        <f>_xlfn.XLOOKUP($A273,'(backend scoring)'!$V$2:$V$333,'(backend scoring)'!$A$2:$A$333,"")</f>
        <v/>
      </c>
      <c r="C273" s="209" t="str">
        <f>IFERROR(VLOOKUP($B273,'Institution Evaluation'!$A$55:$F$345,2,0),IFERROR(VLOOKUP($B273,'Privacy Analyst Evaluation'!$A$46:$F$120,2,0),""))&amp;""</f>
        <v/>
      </c>
      <c r="D273" s="209" t="str">
        <f>IFERROR(VLOOKUP($B273,'Institution Evaluation'!$A$55:$F$345,3,0),IFERROR(VLOOKUP($B273,'Privacy Analyst Evaluation'!$A$46:$F$120,3,0),""))&amp;""</f>
        <v/>
      </c>
      <c r="E273" s="209" t="str">
        <f>IFERROR(VLOOKUP($B273,'Institution Evaluation'!$A$55:$F$345,4,0),IFERROR(VLOOKUP($B273,'Privacy Analyst Evaluation'!$A$46:$F$120,4,0),""))&amp;""</f>
        <v/>
      </c>
      <c r="F273" s="209" t="str">
        <f>IFERROR(VLOOKUP($B273,'Institution Evaluation'!$A$55:$F$345,6,0),IFERROR(VLOOKUP($B273,'Privacy Analyst Evaluation'!$A$46:$F$120,6,0),""))&amp;""</f>
        <v/>
      </c>
      <c r="G273" s="210"/>
      <c r="H273" s="209" t="str">
        <f>IFERROR(IF($H272+1&gt;'(backend scoring)'!$Q$335,"",$H272+1),"")</f>
        <v/>
      </c>
      <c r="I273" s="209" t="str">
        <f>_xlfn.XLOOKUP($H273,'(backend scoring)'!$S$2:$S$333,'(backend scoring)'!$A$2:$A$333,"")</f>
        <v/>
      </c>
      <c r="J273" s="209" t="str">
        <f>IFERROR(VLOOKUP($I273,'Institution Evaluation'!$A$55:$F$345,2,0),IFERROR(VLOOKUP($I273,'Privacy Analyst Evaluation'!$A$46:$F$120,2,0),""))</f>
        <v/>
      </c>
      <c r="K273" s="209" t="str">
        <f>IFERROR(VLOOKUP($I273,'Institution Evaluation'!$A$55:$F$345,3,0),IFERROR(VLOOKUP($I273,'Privacy Analyst Evaluation'!$A$46:$F$120,3,0),""))&amp;""</f>
        <v/>
      </c>
      <c r="L273" s="209" t="str">
        <f>IFERROR(VLOOKUP($I273,'Institution Evaluation'!$A$55:$F$345,4,0),IFERROR(VLOOKUP($I273,'Privacy Analyst Evaluation'!$A$46:$F$120,4,0),""))&amp;""</f>
        <v/>
      </c>
      <c r="M273" s="209" t="str">
        <f>IFERROR(VLOOKUP($I273,'Institution Evaluation'!$A$55:$F$345,6,0),IFERROR(VLOOKUP($I273,'Privacy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2">
      <c r="A274" s="209" t="str">
        <f>IFERROR(IF($A273+1&gt;'(backend scoring)'!$T$335,"",$A273+1),"")</f>
        <v/>
      </c>
      <c r="B274" s="209" t="str">
        <f>_xlfn.XLOOKUP($A274,'(backend scoring)'!$V$2:$V$333,'(backend scoring)'!$A$2:$A$333,"")</f>
        <v/>
      </c>
      <c r="C274" s="209" t="str">
        <f>IFERROR(VLOOKUP($B274,'Institution Evaluation'!$A$55:$F$345,2,0),IFERROR(VLOOKUP($B274,'Privacy Analyst Evaluation'!$A$46:$F$120,2,0),""))&amp;""</f>
        <v/>
      </c>
      <c r="D274" s="209" t="str">
        <f>IFERROR(VLOOKUP($B274,'Institution Evaluation'!$A$55:$F$345,3,0),IFERROR(VLOOKUP($B274,'Privacy Analyst Evaluation'!$A$46:$F$120,3,0),""))&amp;""</f>
        <v/>
      </c>
      <c r="E274" s="209" t="str">
        <f>IFERROR(VLOOKUP($B274,'Institution Evaluation'!$A$55:$F$345,4,0),IFERROR(VLOOKUP($B274,'Privacy Analyst Evaluation'!$A$46:$F$120,4,0),""))&amp;""</f>
        <v/>
      </c>
      <c r="F274" s="209" t="str">
        <f>IFERROR(VLOOKUP($B274,'Institution Evaluation'!$A$55:$F$345,6,0),IFERROR(VLOOKUP($B274,'Privacy Analyst Evaluation'!$A$46:$F$120,6,0),""))&amp;""</f>
        <v/>
      </c>
      <c r="G274" s="210"/>
      <c r="H274" s="209" t="str">
        <f>IFERROR(IF($H273+1&gt;'(backend scoring)'!$Q$335,"",$H273+1),"")</f>
        <v/>
      </c>
      <c r="I274" s="209" t="str">
        <f>_xlfn.XLOOKUP($H274,'(backend scoring)'!$S$2:$S$333,'(backend scoring)'!$A$2:$A$333,"")</f>
        <v/>
      </c>
      <c r="J274" s="209" t="str">
        <f>IFERROR(VLOOKUP($I274,'Institution Evaluation'!$A$55:$F$345,2,0),IFERROR(VLOOKUP($I274,'Privacy Analyst Evaluation'!$A$46:$F$120,2,0),""))</f>
        <v/>
      </c>
      <c r="K274" s="209" t="str">
        <f>IFERROR(VLOOKUP($I274,'Institution Evaluation'!$A$55:$F$345,3,0),IFERROR(VLOOKUP($I274,'Privacy Analyst Evaluation'!$A$46:$F$120,3,0),""))&amp;""</f>
        <v/>
      </c>
      <c r="L274" s="209" t="str">
        <f>IFERROR(VLOOKUP($I274,'Institution Evaluation'!$A$55:$F$345,4,0),IFERROR(VLOOKUP($I274,'Privacy Analyst Evaluation'!$A$46:$F$120,4,0),""))&amp;""</f>
        <v/>
      </c>
      <c r="M274" s="209" t="str">
        <f>IFERROR(VLOOKUP($I274,'Institution Evaluation'!$A$55:$F$345,6,0),IFERROR(VLOOKUP($I274,'Privacy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2">
      <c r="A275" s="209" t="str">
        <f>IFERROR(IF($A274+1&gt;'(backend scoring)'!$T$335,"",$A274+1),"")</f>
        <v/>
      </c>
      <c r="B275" s="209" t="str">
        <f>_xlfn.XLOOKUP($A275,'(backend scoring)'!$V$2:$V$333,'(backend scoring)'!$A$2:$A$333,"")</f>
        <v/>
      </c>
      <c r="C275" s="209" t="str">
        <f>IFERROR(VLOOKUP($B275,'Institution Evaluation'!$A$55:$F$345,2,0),IFERROR(VLOOKUP($B275,'Privacy Analyst Evaluation'!$A$46:$F$120,2,0),""))&amp;""</f>
        <v/>
      </c>
      <c r="D275" s="209" t="str">
        <f>IFERROR(VLOOKUP($B275,'Institution Evaluation'!$A$55:$F$345,3,0),IFERROR(VLOOKUP($B275,'Privacy Analyst Evaluation'!$A$46:$F$120,3,0),""))&amp;""</f>
        <v/>
      </c>
      <c r="E275" s="209" t="str">
        <f>IFERROR(VLOOKUP($B275,'Institution Evaluation'!$A$55:$F$345,4,0),IFERROR(VLOOKUP($B275,'Privacy Analyst Evaluation'!$A$46:$F$120,4,0),""))&amp;""</f>
        <v/>
      </c>
      <c r="F275" s="209" t="str">
        <f>IFERROR(VLOOKUP($B275,'Institution Evaluation'!$A$55:$F$345,6,0),IFERROR(VLOOKUP($B275,'Privacy Analyst Evaluation'!$A$46:$F$120,6,0),""))&amp;""</f>
        <v/>
      </c>
      <c r="G275" s="210"/>
      <c r="H275" s="209" t="str">
        <f>IFERROR(IF($H274+1&gt;'(backend scoring)'!$Q$335,"",$H274+1),"")</f>
        <v/>
      </c>
      <c r="I275" s="209" t="str">
        <f>_xlfn.XLOOKUP($H275,'(backend scoring)'!$S$2:$S$333,'(backend scoring)'!$A$2:$A$333,"")</f>
        <v/>
      </c>
      <c r="J275" s="209" t="str">
        <f>IFERROR(VLOOKUP($I275,'Institution Evaluation'!$A$55:$F$345,2,0),IFERROR(VLOOKUP($I275,'Privacy Analyst Evaluation'!$A$46:$F$120,2,0),""))</f>
        <v/>
      </c>
      <c r="K275" s="209" t="str">
        <f>IFERROR(VLOOKUP($I275,'Institution Evaluation'!$A$55:$F$345,3,0),IFERROR(VLOOKUP($I275,'Privacy Analyst Evaluation'!$A$46:$F$120,3,0),""))&amp;""</f>
        <v/>
      </c>
      <c r="L275" s="209" t="str">
        <f>IFERROR(VLOOKUP($I275,'Institution Evaluation'!$A$55:$F$345,4,0),IFERROR(VLOOKUP($I275,'Privacy Analyst Evaluation'!$A$46:$F$120,4,0),""))&amp;""</f>
        <v/>
      </c>
      <c r="M275" s="209" t="str">
        <f>IFERROR(VLOOKUP($I275,'Institution Evaluation'!$A$55:$F$345,6,0),IFERROR(VLOOKUP($I275,'Privacy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2">
      <c r="A276" s="209" t="str">
        <f>IFERROR(IF($A275+1&gt;'(backend scoring)'!$T$335,"",$A275+1),"")</f>
        <v/>
      </c>
      <c r="B276" s="209" t="str">
        <f>_xlfn.XLOOKUP($A276,'(backend scoring)'!$V$2:$V$333,'(backend scoring)'!$A$2:$A$333,"")</f>
        <v/>
      </c>
      <c r="C276" s="209" t="str">
        <f>IFERROR(VLOOKUP($B276,'Institution Evaluation'!$A$55:$F$345,2,0),IFERROR(VLOOKUP($B276,'Privacy Analyst Evaluation'!$A$46:$F$120,2,0),""))&amp;""</f>
        <v/>
      </c>
      <c r="D276" s="209" t="str">
        <f>IFERROR(VLOOKUP($B276,'Institution Evaluation'!$A$55:$F$345,3,0),IFERROR(VLOOKUP($B276,'Privacy Analyst Evaluation'!$A$46:$F$120,3,0),""))&amp;""</f>
        <v/>
      </c>
      <c r="E276" s="209" t="str">
        <f>IFERROR(VLOOKUP($B276,'Institution Evaluation'!$A$55:$F$345,4,0),IFERROR(VLOOKUP($B276,'Privacy Analyst Evaluation'!$A$46:$F$120,4,0),""))&amp;""</f>
        <v/>
      </c>
      <c r="F276" s="209" t="str">
        <f>IFERROR(VLOOKUP($B276,'Institution Evaluation'!$A$55:$F$345,6,0),IFERROR(VLOOKUP($B276,'Privacy Analyst Evaluation'!$A$46:$F$120,6,0),""))&amp;""</f>
        <v/>
      </c>
      <c r="G276" s="210"/>
      <c r="H276" s="209" t="str">
        <f>IFERROR(IF($H275+1&gt;'(backend scoring)'!$Q$335,"",$H275+1),"")</f>
        <v/>
      </c>
      <c r="I276" s="209" t="str">
        <f>_xlfn.XLOOKUP($H276,'(backend scoring)'!$S$2:$S$333,'(backend scoring)'!$A$2:$A$333,"")</f>
        <v/>
      </c>
      <c r="J276" s="209" t="str">
        <f>IFERROR(VLOOKUP($I276,'Institution Evaluation'!$A$55:$F$345,2,0),IFERROR(VLOOKUP($I276,'Privacy Analyst Evaluation'!$A$46:$F$120,2,0),""))</f>
        <v/>
      </c>
      <c r="K276" s="209" t="str">
        <f>IFERROR(VLOOKUP($I276,'Institution Evaluation'!$A$55:$F$345,3,0),IFERROR(VLOOKUP($I276,'Privacy Analyst Evaluation'!$A$46:$F$120,3,0),""))&amp;""</f>
        <v/>
      </c>
      <c r="L276" s="209" t="str">
        <f>IFERROR(VLOOKUP($I276,'Institution Evaluation'!$A$55:$F$345,4,0),IFERROR(VLOOKUP($I276,'Privacy Analyst Evaluation'!$A$46:$F$120,4,0),""))&amp;""</f>
        <v/>
      </c>
      <c r="M276" s="209" t="str">
        <f>IFERROR(VLOOKUP($I276,'Institution Evaluation'!$A$55:$F$345,6,0),IFERROR(VLOOKUP($I276,'Privacy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2">
      <c r="A277" s="209" t="str">
        <f>IFERROR(IF($A276+1&gt;'(backend scoring)'!$T$335,"",$A276+1),"")</f>
        <v/>
      </c>
      <c r="B277" s="209" t="str">
        <f>_xlfn.XLOOKUP($A277,'(backend scoring)'!$V$2:$V$333,'(backend scoring)'!$A$2:$A$333,"")</f>
        <v/>
      </c>
      <c r="C277" s="209" t="str">
        <f>IFERROR(VLOOKUP($B277,'Institution Evaluation'!$A$55:$F$345,2,0),IFERROR(VLOOKUP($B277,'Privacy Analyst Evaluation'!$A$46:$F$120,2,0),""))&amp;""</f>
        <v/>
      </c>
      <c r="D277" s="209" t="str">
        <f>IFERROR(VLOOKUP($B277,'Institution Evaluation'!$A$55:$F$345,3,0),IFERROR(VLOOKUP($B277,'Privacy Analyst Evaluation'!$A$46:$F$120,3,0),""))&amp;""</f>
        <v/>
      </c>
      <c r="E277" s="209" t="str">
        <f>IFERROR(VLOOKUP($B277,'Institution Evaluation'!$A$55:$F$345,4,0),IFERROR(VLOOKUP($B277,'Privacy Analyst Evaluation'!$A$46:$F$120,4,0),""))&amp;""</f>
        <v/>
      </c>
      <c r="F277" s="209" t="str">
        <f>IFERROR(VLOOKUP($B277,'Institution Evaluation'!$A$55:$F$345,6,0),IFERROR(VLOOKUP($B277,'Privacy Analyst Evaluation'!$A$46:$F$120,6,0),""))&amp;""</f>
        <v/>
      </c>
      <c r="G277" s="210"/>
      <c r="H277" s="209" t="str">
        <f>IFERROR(IF($H276+1&gt;'(backend scoring)'!$Q$335,"",$H276+1),"")</f>
        <v/>
      </c>
      <c r="I277" s="209" t="str">
        <f>_xlfn.XLOOKUP($H277,'(backend scoring)'!$S$2:$S$333,'(backend scoring)'!$A$2:$A$333,"")</f>
        <v/>
      </c>
      <c r="J277" s="209" t="str">
        <f>IFERROR(VLOOKUP($I277,'Institution Evaluation'!$A$55:$F$345,2,0),IFERROR(VLOOKUP($I277,'Privacy Analyst Evaluation'!$A$46:$F$120,2,0),""))</f>
        <v/>
      </c>
      <c r="K277" s="209" t="str">
        <f>IFERROR(VLOOKUP($I277,'Institution Evaluation'!$A$55:$F$345,3,0),IFERROR(VLOOKUP($I277,'Privacy Analyst Evaluation'!$A$46:$F$120,3,0),""))&amp;""</f>
        <v/>
      </c>
      <c r="L277" s="209" t="str">
        <f>IFERROR(VLOOKUP($I277,'Institution Evaluation'!$A$55:$F$345,4,0),IFERROR(VLOOKUP($I277,'Privacy Analyst Evaluation'!$A$46:$F$120,4,0),""))&amp;""</f>
        <v/>
      </c>
      <c r="M277" s="209" t="str">
        <f>IFERROR(VLOOKUP($I277,'Institution Evaluation'!$A$55:$F$345,6,0),IFERROR(VLOOKUP($I277,'Privacy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2">
      <c r="A278" s="209" t="str">
        <f>IFERROR(IF($A277+1&gt;'(backend scoring)'!$T$335,"",$A277+1),"")</f>
        <v/>
      </c>
      <c r="B278" s="209" t="str">
        <f>_xlfn.XLOOKUP($A278,'(backend scoring)'!$V$2:$V$333,'(backend scoring)'!$A$2:$A$333,"")</f>
        <v/>
      </c>
      <c r="C278" s="209" t="str">
        <f>IFERROR(VLOOKUP($B278,'Institution Evaluation'!$A$55:$F$345,2,0),IFERROR(VLOOKUP($B278,'Privacy Analyst Evaluation'!$A$46:$F$120,2,0),""))&amp;""</f>
        <v/>
      </c>
      <c r="D278" s="209" t="str">
        <f>IFERROR(VLOOKUP($B278,'Institution Evaluation'!$A$55:$F$345,3,0),IFERROR(VLOOKUP($B278,'Privacy Analyst Evaluation'!$A$46:$F$120,3,0),""))&amp;""</f>
        <v/>
      </c>
      <c r="E278" s="209" t="str">
        <f>IFERROR(VLOOKUP($B278,'Institution Evaluation'!$A$55:$F$345,4,0),IFERROR(VLOOKUP($B278,'Privacy Analyst Evaluation'!$A$46:$F$120,4,0),""))&amp;""</f>
        <v/>
      </c>
      <c r="F278" s="209" t="str">
        <f>IFERROR(VLOOKUP($B278,'Institution Evaluation'!$A$55:$F$345,6,0),IFERROR(VLOOKUP($B278,'Privacy Analyst Evaluation'!$A$46:$F$120,6,0),""))&amp;""</f>
        <v/>
      </c>
      <c r="G278" s="210"/>
      <c r="H278" s="209" t="str">
        <f>IFERROR(IF($H277+1&gt;'(backend scoring)'!$Q$335,"",$H277+1),"")</f>
        <v/>
      </c>
      <c r="I278" s="209" t="str">
        <f>_xlfn.XLOOKUP($H278,'(backend scoring)'!$S$2:$S$333,'(backend scoring)'!$A$2:$A$333,"")</f>
        <v/>
      </c>
      <c r="J278" s="209" t="str">
        <f>IFERROR(VLOOKUP($I278,'Institution Evaluation'!$A$55:$F$345,2,0),IFERROR(VLOOKUP($I278,'Privacy Analyst Evaluation'!$A$46:$F$120,2,0),""))</f>
        <v/>
      </c>
      <c r="K278" s="209" t="str">
        <f>IFERROR(VLOOKUP($I278,'Institution Evaluation'!$A$55:$F$345,3,0),IFERROR(VLOOKUP($I278,'Privacy Analyst Evaluation'!$A$46:$F$120,3,0),""))&amp;""</f>
        <v/>
      </c>
      <c r="L278" s="209" t="str">
        <f>IFERROR(VLOOKUP($I278,'Institution Evaluation'!$A$55:$F$345,4,0),IFERROR(VLOOKUP($I278,'Privacy Analyst Evaluation'!$A$46:$F$120,4,0),""))&amp;""</f>
        <v/>
      </c>
      <c r="M278" s="209" t="str">
        <f>IFERROR(VLOOKUP($I278,'Institution Evaluation'!$A$55:$F$345,6,0),IFERROR(VLOOKUP($I278,'Privacy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2">
      <c r="A279" s="209" t="str">
        <f>IFERROR(IF($A278+1&gt;'(backend scoring)'!$T$335,"",$A278+1),"")</f>
        <v/>
      </c>
      <c r="B279" s="209" t="str">
        <f>_xlfn.XLOOKUP($A279,'(backend scoring)'!$V$2:$V$333,'(backend scoring)'!$A$2:$A$333,"")</f>
        <v/>
      </c>
      <c r="C279" s="209" t="str">
        <f>IFERROR(VLOOKUP($B279,'Institution Evaluation'!$A$55:$F$345,2,0),IFERROR(VLOOKUP($B279,'Privacy Analyst Evaluation'!$A$46:$F$120,2,0),""))&amp;""</f>
        <v/>
      </c>
      <c r="D279" s="209" t="str">
        <f>IFERROR(VLOOKUP($B279,'Institution Evaluation'!$A$55:$F$345,3,0),IFERROR(VLOOKUP($B279,'Privacy Analyst Evaluation'!$A$46:$F$120,3,0),""))&amp;""</f>
        <v/>
      </c>
      <c r="E279" s="209" t="str">
        <f>IFERROR(VLOOKUP($B279,'Institution Evaluation'!$A$55:$F$345,4,0),IFERROR(VLOOKUP($B279,'Privacy Analyst Evaluation'!$A$46:$F$120,4,0),""))&amp;""</f>
        <v/>
      </c>
      <c r="F279" s="209" t="str">
        <f>IFERROR(VLOOKUP($B279,'Institution Evaluation'!$A$55:$F$345,6,0),IFERROR(VLOOKUP($B279,'Privacy Analyst Evaluation'!$A$46:$F$120,6,0),""))&amp;""</f>
        <v/>
      </c>
      <c r="G279" s="210"/>
      <c r="H279" s="209" t="str">
        <f>IFERROR(IF($H278+1&gt;'(backend scoring)'!$Q$335,"",$H278+1),"")</f>
        <v/>
      </c>
      <c r="I279" s="209" t="str">
        <f>_xlfn.XLOOKUP($H279,'(backend scoring)'!$S$2:$S$333,'(backend scoring)'!$A$2:$A$333,"")</f>
        <v/>
      </c>
      <c r="J279" s="209" t="str">
        <f>IFERROR(VLOOKUP($I279,'Institution Evaluation'!$A$55:$F$345,2,0),IFERROR(VLOOKUP($I279,'Privacy Analyst Evaluation'!$A$46:$F$120,2,0),""))</f>
        <v/>
      </c>
      <c r="K279" s="209" t="str">
        <f>IFERROR(VLOOKUP($I279,'Institution Evaluation'!$A$55:$F$345,3,0),IFERROR(VLOOKUP($I279,'Privacy Analyst Evaluation'!$A$46:$F$120,3,0),""))&amp;""</f>
        <v/>
      </c>
      <c r="L279" s="209" t="str">
        <f>IFERROR(VLOOKUP($I279,'Institution Evaluation'!$A$55:$F$345,4,0),IFERROR(VLOOKUP($I279,'Privacy Analyst Evaluation'!$A$46:$F$120,4,0),""))&amp;""</f>
        <v/>
      </c>
      <c r="M279" s="209" t="str">
        <f>IFERROR(VLOOKUP($I279,'Institution Evaluation'!$A$55:$F$345,6,0),IFERROR(VLOOKUP($I279,'Privacy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2">
      <c r="A280" s="209" t="str">
        <f>IFERROR(IF($A279+1&gt;'(backend scoring)'!$T$335,"",$A279+1),"")</f>
        <v/>
      </c>
      <c r="B280" s="209" t="str">
        <f>_xlfn.XLOOKUP($A280,'(backend scoring)'!$V$2:$V$333,'(backend scoring)'!$A$2:$A$333,"")</f>
        <v/>
      </c>
      <c r="C280" s="209" t="str">
        <f>IFERROR(VLOOKUP($B280,'Institution Evaluation'!$A$55:$F$345,2,0),IFERROR(VLOOKUP($B280,'Privacy Analyst Evaluation'!$A$46:$F$120,2,0),""))&amp;""</f>
        <v/>
      </c>
      <c r="D280" s="209" t="str">
        <f>IFERROR(VLOOKUP($B280,'Institution Evaluation'!$A$55:$F$345,3,0),IFERROR(VLOOKUP($B280,'Privacy Analyst Evaluation'!$A$46:$F$120,3,0),""))&amp;""</f>
        <v/>
      </c>
      <c r="E280" s="209" t="str">
        <f>IFERROR(VLOOKUP($B280,'Institution Evaluation'!$A$55:$F$345,4,0),IFERROR(VLOOKUP($B280,'Privacy Analyst Evaluation'!$A$46:$F$120,4,0),""))&amp;""</f>
        <v/>
      </c>
      <c r="F280" s="209" t="str">
        <f>IFERROR(VLOOKUP($B280,'Institution Evaluation'!$A$55:$F$345,6,0),IFERROR(VLOOKUP($B280,'Privacy Analyst Evaluation'!$A$46:$F$120,6,0),""))&amp;""</f>
        <v/>
      </c>
      <c r="G280" s="210"/>
      <c r="H280" s="209" t="str">
        <f>IFERROR(IF($H279+1&gt;'(backend scoring)'!$Q$335,"",$H279+1),"")</f>
        <v/>
      </c>
      <c r="I280" s="209" t="str">
        <f>_xlfn.XLOOKUP($H280,'(backend scoring)'!$S$2:$S$333,'(backend scoring)'!$A$2:$A$333,"")</f>
        <v/>
      </c>
      <c r="J280" s="209" t="str">
        <f>IFERROR(VLOOKUP($I280,'Institution Evaluation'!$A$55:$F$345,2,0),IFERROR(VLOOKUP($I280,'Privacy Analyst Evaluation'!$A$46:$F$120,2,0),""))</f>
        <v/>
      </c>
      <c r="K280" s="209" t="str">
        <f>IFERROR(VLOOKUP($I280,'Institution Evaluation'!$A$55:$F$345,3,0),IFERROR(VLOOKUP($I280,'Privacy Analyst Evaluation'!$A$46:$F$120,3,0),""))&amp;""</f>
        <v/>
      </c>
      <c r="L280" s="209" t="str">
        <f>IFERROR(VLOOKUP($I280,'Institution Evaluation'!$A$55:$F$345,4,0),IFERROR(VLOOKUP($I280,'Privacy Analyst Evaluation'!$A$46:$F$120,4,0),""))&amp;""</f>
        <v/>
      </c>
      <c r="M280" s="209" t="str">
        <f>IFERROR(VLOOKUP($I280,'Institution Evaluation'!$A$55:$F$345,6,0),IFERROR(VLOOKUP($I280,'Privacy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2">
      <c r="A281" s="209" t="str">
        <f>IFERROR(IF($A280+1&gt;'(backend scoring)'!$T$335,"",$A280+1),"")</f>
        <v/>
      </c>
      <c r="B281" s="209" t="str">
        <f>_xlfn.XLOOKUP($A281,'(backend scoring)'!$V$2:$V$333,'(backend scoring)'!$A$2:$A$333,"")</f>
        <v/>
      </c>
      <c r="C281" s="209" t="str">
        <f>IFERROR(VLOOKUP($B281,'Institution Evaluation'!$A$55:$F$345,2,0),IFERROR(VLOOKUP($B281,'Privacy Analyst Evaluation'!$A$46:$F$120,2,0),""))&amp;""</f>
        <v/>
      </c>
      <c r="D281" s="209" t="str">
        <f>IFERROR(VLOOKUP($B281,'Institution Evaluation'!$A$55:$F$345,3,0),IFERROR(VLOOKUP($B281,'Privacy Analyst Evaluation'!$A$46:$F$120,3,0),""))&amp;""</f>
        <v/>
      </c>
      <c r="E281" s="209" t="str">
        <f>IFERROR(VLOOKUP($B281,'Institution Evaluation'!$A$55:$F$345,4,0),IFERROR(VLOOKUP($B281,'Privacy Analyst Evaluation'!$A$46:$F$120,4,0),""))&amp;""</f>
        <v/>
      </c>
      <c r="F281" s="209" t="str">
        <f>IFERROR(VLOOKUP($B281,'Institution Evaluation'!$A$55:$F$345,6,0),IFERROR(VLOOKUP($B281,'Privacy Analyst Evaluation'!$A$46:$F$120,6,0),""))&amp;""</f>
        <v/>
      </c>
      <c r="G281" s="210"/>
      <c r="H281" s="209" t="str">
        <f>IFERROR(IF($H280+1&gt;'(backend scoring)'!$Q$335,"",$H280+1),"")</f>
        <v/>
      </c>
      <c r="I281" s="209" t="str">
        <f>_xlfn.XLOOKUP($H281,'(backend scoring)'!$S$2:$S$333,'(backend scoring)'!$A$2:$A$333,"")</f>
        <v/>
      </c>
      <c r="J281" s="209" t="str">
        <f>IFERROR(VLOOKUP($I281,'Institution Evaluation'!$A$55:$F$345,2,0),IFERROR(VLOOKUP($I281,'Privacy Analyst Evaluation'!$A$46:$F$120,2,0),""))</f>
        <v/>
      </c>
      <c r="K281" s="209" t="str">
        <f>IFERROR(VLOOKUP($I281,'Institution Evaluation'!$A$55:$F$345,3,0),IFERROR(VLOOKUP($I281,'Privacy Analyst Evaluation'!$A$46:$F$120,3,0),""))&amp;""</f>
        <v/>
      </c>
      <c r="L281" s="209" t="str">
        <f>IFERROR(VLOOKUP($I281,'Institution Evaluation'!$A$55:$F$345,4,0),IFERROR(VLOOKUP($I281,'Privacy Analyst Evaluation'!$A$46:$F$120,4,0),""))&amp;""</f>
        <v/>
      </c>
      <c r="M281" s="209" t="str">
        <f>IFERROR(VLOOKUP($I281,'Institution Evaluation'!$A$55:$F$345,6,0),IFERROR(VLOOKUP($I281,'Privacy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2">
      <c r="A282" s="209" t="str">
        <f>IFERROR(IF($A281+1&gt;'(backend scoring)'!$T$335,"",$A281+1),"")</f>
        <v/>
      </c>
      <c r="B282" s="209" t="str">
        <f>_xlfn.XLOOKUP($A282,'(backend scoring)'!$V$2:$V$333,'(backend scoring)'!$A$2:$A$333,"")</f>
        <v/>
      </c>
      <c r="C282" s="209" t="str">
        <f>IFERROR(VLOOKUP($B282,'Institution Evaluation'!$A$55:$F$345,2,0),IFERROR(VLOOKUP($B282,'Privacy Analyst Evaluation'!$A$46:$F$120,2,0),""))&amp;""</f>
        <v/>
      </c>
      <c r="D282" s="209" t="str">
        <f>IFERROR(VLOOKUP($B282,'Institution Evaluation'!$A$55:$F$345,3,0),IFERROR(VLOOKUP($B282,'Privacy Analyst Evaluation'!$A$46:$F$120,3,0),""))&amp;""</f>
        <v/>
      </c>
      <c r="E282" s="209" t="str">
        <f>IFERROR(VLOOKUP($B282,'Institution Evaluation'!$A$55:$F$345,4,0),IFERROR(VLOOKUP($B282,'Privacy Analyst Evaluation'!$A$46:$F$120,4,0),""))&amp;""</f>
        <v/>
      </c>
      <c r="F282" s="209" t="str">
        <f>IFERROR(VLOOKUP($B282,'Institution Evaluation'!$A$55:$F$345,6,0),IFERROR(VLOOKUP($B282,'Privacy Analyst Evaluation'!$A$46:$F$120,6,0),""))&amp;""</f>
        <v/>
      </c>
      <c r="G282" s="210"/>
      <c r="H282" s="209" t="str">
        <f>IFERROR(IF($H281+1&gt;'(backend scoring)'!$Q$335,"",$H281+1),"")</f>
        <v/>
      </c>
      <c r="I282" s="209" t="str">
        <f>_xlfn.XLOOKUP($H282,'(backend scoring)'!$S$2:$S$333,'(backend scoring)'!$A$2:$A$333,"")</f>
        <v/>
      </c>
      <c r="J282" s="209" t="str">
        <f>IFERROR(VLOOKUP($I282,'Institution Evaluation'!$A$55:$F$345,2,0),IFERROR(VLOOKUP($I282,'Privacy Analyst Evaluation'!$A$46:$F$120,2,0),""))</f>
        <v/>
      </c>
      <c r="K282" s="209" t="str">
        <f>IFERROR(VLOOKUP($I282,'Institution Evaluation'!$A$55:$F$345,3,0),IFERROR(VLOOKUP($I282,'Privacy Analyst Evaluation'!$A$46:$F$120,3,0),""))&amp;""</f>
        <v/>
      </c>
      <c r="L282" s="209" t="str">
        <f>IFERROR(VLOOKUP($I282,'Institution Evaluation'!$A$55:$F$345,4,0),IFERROR(VLOOKUP($I282,'Privacy Analyst Evaluation'!$A$46:$F$120,4,0),""))&amp;""</f>
        <v/>
      </c>
      <c r="M282" s="209" t="str">
        <f>IFERROR(VLOOKUP($I282,'Institution Evaluation'!$A$55:$F$345,6,0),IFERROR(VLOOKUP($I282,'Privacy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2">
      <c r="A283" s="209" t="str">
        <f>IFERROR(IF($A282+1&gt;'(backend scoring)'!$T$335,"",$A282+1),"")</f>
        <v/>
      </c>
      <c r="B283" s="209" t="str">
        <f>_xlfn.XLOOKUP($A283,'(backend scoring)'!$V$2:$V$333,'(backend scoring)'!$A$2:$A$333,"")</f>
        <v/>
      </c>
      <c r="C283" s="209" t="str">
        <f>IFERROR(VLOOKUP($B283,'Institution Evaluation'!$A$55:$F$345,2,0),IFERROR(VLOOKUP($B283,'Privacy Analyst Evaluation'!$A$46:$F$120,2,0),""))&amp;""</f>
        <v/>
      </c>
      <c r="D283" s="209" t="str">
        <f>IFERROR(VLOOKUP($B283,'Institution Evaluation'!$A$55:$F$345,3,0),IFERROR(VLOOKUP($B283,'Privacy Analyst Evaluation'!$A$46:$F$120,3,0),""))&amp;""</f>
        <v/>
      </c>
      <c r="E283" s="209" t="str">
        <f>IFERROR(VLOOKUP($B283,'Institution Evaluation'!$A$55:$F$345,4,0),IFERROR(VLOOKUP($B283,'Privacy Analyst Evaluation'!$A$46:$F$120,4,0),""))&amp;""</f>
        <v/>
      </c>
      <c r="F283" s="209" t="str">
        <f>IFERROR(VLOOKUP($B283,'Institution Evaluation'!$A$55:$F$345,6,0),IFERROR(VLOOKUP($B283,'Privacy Analyst Evaluation'!$A$46:$F$120,6,0),""))&amp;""</f>
        <v/>
      </c>
      <c r="G283" s="210"/>
      <c r="H283" s="209" t="str">
        <f>IFERROR(IF($H282+1&gt;'(backend scoring)'!$Q$335,"",$H282+1),"")</f>
        <v/>
      </c>
      <c r="I283" s="209" t="str">
        <f>_xlfn.XLOOKUP($H283,'(backend scoring)'!$S$2:$S$333,'(backend scoring)'!$A$2:$A$333,"")</f>
        <v/>
      </c>
      <c r="J283" s="209" t="str">
        <f>IFERROR(VLOOKUP($I283,'Institution Evaluation'!$A$55:$F$345,2,0),IFERROR(VLOOKUP($I283,'Privacy Analyst Evaluation'!$A$46:$F$120,2,0),""))</f>
        <v/>
      </c>
      <c r="K283" s="209" t="str">
        <f>IFERROR(VLOOKUP($I283,'Institution Evaluation'!$A$55:$F$345,3,0),IFERROR(VLOOKUP($I283,'Privacy Analyst Evaluation'!$A$46:$F$120,3,0),""))&amp;""</f>
        <v/>
      </c>
      <c r="L283" s="209" t="str">
        <f>IFERROR(VLOOKUP($I283,'Institution Evaluation'!$A$55:$F$345,4,0),IFERROR(VLOOKUP($I283,'Privacy Analyst Evaluation'!$A$46:$F$120,4,0),""))&amp;""</f>
        <v/>
      </c>
      <c r="M283" s="209" t="str">
        <f>IFERROR(VLOOKUP($I283,'Institution Evaluation'!$A$55:$F$345,6,0),IFERROR(VLOOKUP($I283,'Privacy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2">
      <c r="A284" s="209" t="str">
        <f>IFERROR(IF($A283+1&gt;'(backend scoring)'!$T$335,"",$A283+1),"")</f>
        <v/>
      </c>
      <c r="B284" s="209" t="str">
        <f>_xlfn.XLOOKUP($A284,'(backend scoring)'!$V$2:$V$333,'(backend scoring)'!$A$2:$A$333,"")</f>
        <v/>
      </c>
      <c r="C284" s="209" t="str">
        <f>IFERROR(VLOOKUP($B284,'Institution Evaluation'!$A$55:$F$345,2,0),IFERROR(VLOOKUP($B284,'Privacy Analyst Evaluation'!$A$46:$F$120,2,0),""))&amp;""</f>
        <v/>
      </c>
      <c r="D284" s="209" t="str">
        <f>IFERROR(VLOOKUP($B284,'Institution Evaluation'!$A$55:$F$345,3,0),IFERROR(VLOOKUP($B284,'Privacy Analyst Evaluation'!$A$46:$F$120,3,0),""))&amp;""</f>
        <v/>
      </c>
      <c r="E284" s="209" t="str">
        <f>IFERROR(VLOOKUP($B284,'Institution Evaluation'!$A$55:$F$345,4,0),IFERROR(VLOOKUP($B284,'Privacy Analyst Evaluation'!$A$46:$F$120,4,0),""))&amp;""</f>
        <v/>
      </c>
      <c r="F284" s="209" t="str">
        <f>IFERROR(VLOOKUP($B284,'Institution Evaluation'!$A$55:$F$345,6,0),IFERROR(VLOOKUP($B284,'Privacy Analyst Evaluation'!$A$46:$F$120,6,0),""))&amp;""</f>
        <v/>
      </c>
      <c r="G284" s="210"/>
      <c r="H284" s="209" t="str">
        <f>IFERROR(IF($H283+1&gt;'(backend scoring)'!$Q$335,"",$H283+1),"")</f>
        <v/>
      </c>
      <c r="I284" s="209" t="str">
        <f>_xlfn.XLOOKUP($H284,'(backend scoring)'!$S$2:$S$333,'(backend scoring)'!$A$2:$A$333,"")</f>
        <v/>
      </c>
      <c r="J284" s="209" t="str">
        <f>IFERROR(VLOOKUP($I284,'Institution Evaluation'!$A$55:$F$345,2,0),IFERROR(VLOOKUP($I284,'Privacy Analyst Evaluation'!$A$46:$F$120,2,0),""))</f>
        <v/>
      </c>
      <c r="K284" s="209" t="str">
        <f>IFERROR(VLOOKUP($I284,'Institution Evaluation'!$A$55:$F$345,3,0),IFERROR(VLOOKUP($I284,'Privacy Analyst Evaluation'!$A$46:$F$120,3,0),""))&amp;""</f>
        <v/>
      </c>
      <c r="L284" s="209" t="str">
        <f>IFERROR(VLOOKUP($I284,'Institution Evaluation'!$A$55:$F$345,4,0),IFERROR(VLOOKUP($I284,'Privacy Analyst Evaluation'!$A$46:$F$120,4,0),""))&amp;""</f>
        <v/>
      </c>
      <c r="M284" s="209" t="str">
        <f>IFERROR(VLOOKUP($I284,'Institution Evaluation'!$A$55:$F$345,6,0),IFERROR(VLOOKUP($I284,'Privacy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2">
      <c r="A285" s="209" t="str">
        <f>IFERROR(IF($A284+1&gt;'(backend scoring)'!$T$335,"",$A284+1),"")</f>
        <v/>
      </c>
      <c r="B285" s="209" t="str">
        <f>_xlfn.XLOOKUP($A285,'(backend scoring)'!$V$2:$V$333,'(backend scoring)'!$A$2:$A$333,"")</f>
        <v/>
      </c>
      <c r="C285" s="209" t="str">
        <f>IFERROR(VLOOKUP($B285,'Institution Evaluation'!$A$55:$F$345,2,0),IFERROR(VLOOKUP($B285,'Privacy Analyst Evaluation'!$A$46:$F$120,2,0),""))&amp;""</f>
        <v/>
      </c>
      <c r="D285" s="209" t="str">
        <f>IFERROR(VLOOKUP($B285,'Institution Evaluation'!$A$55:$F$345,3,0),IFERROR(VLOOKUP($B285,'Privacy Analyst Evaluation'!$A$46:$F$120,3,0),""))&amp;""</f>
        <v/>
      </c>
      <c r="E285" s="209" t="str">
        <f>IFERROR(VLOOKUP($B285,'Institution Evaluation'!$A$55:$F$345,4,0),IFERROR(VLOOKUP($B285,'Privacy Analyst Evaluation'!$A$46:$F$120,4,0),""))&amp;""</f>
        <v/>
      </c>
      <c r="F285" s="209" t="str">
        <f>IFERROR(VLOOKUP($B285,'Institution Evaluation'!$A$55:$F$345,6,0),IFERROR(VLOOKUP($B285,'Privacy Analyst Evaluation'!$A$46:$F$120,6,0),""))&amp;""</f>
        <v/>
      </c>
      <c r="G285" s="210"/>
      <c r="H285" s="209" t="str">
        <f>IFERROR(IF($H284+1&gt;'(backend scoring)'!$Q$335,"",$H284+1),"")</f>
        <v/>
      </c>
      <c r="I285" s="209" t="str">
        <f>_xlfn.XLOOKUP($H285,'(backend scoring)'!$S$2:$S$333,'(backend scoring)'!$A$2:$A$333,"")</f>
        <v/>
      </c>
      <c r="J285" s="209" t="str">
        <f>IFERROR(VLOOKUP($I285,'Institution Evaluation'!$A$55:$F$345,2,0),IFERROR(VLOOKUP($I285,'Privacy Analyst Evaluation'!$A$46:$F$120,2,0),""))</f>
        <v/>
      </c>
      <c r="K285" s="209" t="str">
        <f>IFERROR(VLOOKUP($I285,'Institution Evaluation'!$A$55:$F$345,3,0),IFERROR(VLOOKUP($I285,'Privacy Analyst Evaluation'!$A$46:$F$120,3,0),""))&amp;""</f>
        <v/>
      </c>
      <c r="L285" s="209" t="str">
        <f>IFERROR(VLOOKUP($I285,'Institution Evaluation'!$A$55:$F$345,4,0),IFERROR(VLOOKUP($I285,'Privacy Analyst Evaluation'!$A$46:$F$120,4,0),""))&amp;""</f>
        <v/>
      </c>
      <c r="M285" s="209" t="str">
        <f>IFERROR(VLOOKUP($I285,'Institution Evaluation'!$A$55:$F$345,6,0),IFERROR(VLOOKUP($I285,'Privacy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2">
      <c r="A286" s="209" t="str">
        <f>IFERROR(IF($A285+1&gt;'(backend scoring)'!$T$335,"",$A285+1),"")</f>
        <v/>
      </c>
      <c r="B286" s="209" t="str">
        <f>_xlfn.XLOOKUP($A286,'(backend scoring)'!$V$2:$V$333,'(backend scoring)'!$A$2:$A$333,"")</f>
        <v/>
      </c>
      <c r="C286" s="209" t="str">
        <f>IFERROR(VLOOKUP($B286,'Institution Evaluation'!$A$55:$F$345,2,0),IFERROR(VLOOKUP($B286,'Privacy Analyst Evaluation'!$A$46:$F$120,2,0),""))&amp;""</f>
        <v/>
      </c>
      <c r="D286" s="209" t="str">
        <f>IFERROR(VLOOKUP($B286,'Institution Evaluation'!$A$55:$F$345,3,0),IFERROR(VLOOKUP($B286,'Privacy Analyst Evaluation'!$A$46:$F$120,3,0),""))&amp;""</f>
        <v/>
      </c>
      <c r="E286" s="209" t="str">
        <f>IFERROR(VLOOKUP($B286,'Institution Evaluation'!$A$55:$F$345,4,0),IFERROR(VLOOKUP($B286,'Privacy Analyst Evaluation'!$A$46:$F$120,4,0),""))&amp;""</f>
        <v/>
      </c>
      <c r="F286" s="209" t="str">
        <f>IFERROR(VLOOKUP($B286,'Institution Evaluation'!$A$55:$F$345,6,0),IFERROR(VLOOKUP($B286,'Privacy Analyst Evaluation'!$A$46:$F$120,6,0),""))&amp;""</f>
        <v/>
      </c>
      <c r="G286" s="210"/>
      <c r="H286" s="209" t="str">
        <f>IFERROR(IF($H285+1&gt;'(backend scoring)'!$Q$335,"",$H285+1),"")</f>
        <v/>
      </c>
      <c r="I286" s="209" t="str">
        <f>_xlfn.XLOOKUP($H286,'(backend scoring)'!$S$2:$S$333,'(backend scoring)'!$A$2:$A$333,"")</f>
        <v/>
      </c>
      <c r="J286" s="209" t="str">
        <f>IFERROR(VLOOKUP($I286,'Institution Evaluation'!$A$55:$F$345,2,0),IFERROR(VLOOKUP($I286,'Privacy Analyst Evaluation'!$A$46:$F$120,2,0),""))</f>
        <v/>
      </c>
      <c r="K286" s="209" t="str">
        <f>IFERROR(VLOOKUP($I286,'Institution Evaluation'!$A$55:$F$345,3,0),IFERROR(VLOOKUP($I286,'Privacy Analyst Evaluation'!$A$46:$F$120,3,0),""))&amp;""</f>
        <v/>
      </c>
      <c r="L286" s="209" t="str">
        <f>IFERROR(VLOOKUP($I286,'Institution Evaluation'!$A$55:$F$345,4,0),IFERROR(VLOOKUP($I286,'Privacy Analyst Evaluation'!$A$46:$F$120,4,0),""))&amp;""</f>
        <v/>
      </c>
      <c r="M286" s="209" t="str">
        <f>IFERROR(VLOOKUP($I286,'Institution Evaluation'!$A$55:$F$345,6,0),IFERROR(VLOOKUP($I286,'Privacy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2">
      <c r="A287" s="209" t="str">
        <f>IFERROR(IF($A286+1&gt;'(backend scoring)'!$T$335,"",$A286+1),"")</f>
        <v/>
      </c>
      <c r="B287" s="209" t="str">
        <f>_xlfn.XLOOKUP($A287,'(backend scoring)'!$V$2:$V$333,'(backend scoring)'!$A$2:$A$333,"")</f>
        <v/>
      </c>
      <c r="C287" s="209" t="str">
        <f>IFERROR(VLOOKUP($B287,'Institution Evaluation'!$A$55:$F$345,2,0),IFERROR(VLOOKUP($B287,'Privacy Analyst Evaluation'!$A$46:$F$120,2,0),""))&amp;""</f>
        <v/>
      </c>
      <c r="D287" s="209" t="str">
        <f>IFERROR(VLOOKUP($B287,'Institution Evaluation'!$A$55:$F$345,3,0),IFERROR(VLOOKUP($B287,'Privacy Analyst Evaluation'!$A$46:$F$120,3,0),""))&amp;""</f>
        <v/>
      </c>
      <c r="E287" s="209" t="str">
        <f>IFERROR(VLOOKUP($B287,'Institution Evaluation'!$A$55:$F$345,4,0),IFERROR(VLOOKUP($B287,'Privacy Analyst Evaluation'!$A$46:$F$120,4,0),""))&amp;""</f>
        <v/>
      </c>
      <c r="F287" s="209" t="str">
        <f>IFERROR(VLOOKUP($B287,'Institution Evaluation'!$A$55:$F$345,6,0),IFERROR(VLOOKUP($B287,'Privacy Analyst Evaluation'!$A$46:$F$120,6,0),""))&amp;""</f>
        <v/>
      </c>
      <c r="G287" s="210"/>
      <c r="H287" s="209" t="str">
        <f>IFERROR(IF($H286+1&gt;'(backend scoring)'!$Q$335,"",$H286+1),"")</f>
        <v/>
      </c>
      <c r="I287" s="209" t="str">
        <f>_xlfn.XLOOKUP($H287,'(backend scoring)'!$S$2:$S$333,'(backend scoring)'!$A$2:$A$333,"")</f>
        <v/>
      </c>
      <c r="J287" s="209" t="str">
        <f>IFERROR(VLOOKUP($I287,'Institution Evaluation'!$A$55:$F$345,2,0),IFERROR(VLOOKUP($I287,'Privacy Analyst Evaluation'!$A$46:$F$120,2,0),""))</f>
        <v/>
      </c>
      <c r="K287" s="209" t="str">
        <f>IFERROR(VLOOKUP($I287,'Institution Evaluation'!$A$55:$F$345,3,0),IFERROR(VLOOKUP($I287,'Privacy Analyst Evaluation'!$A$46:$F$120,3,0),""))&amp;""</f>
        <v/>
      </c>
      <c r="L287" s="209" t="str">
        <f>IFERROR(VLOOKUP($I287,'Institution Evaluation'!$A$55:$F$345,4,0),IFERROR(VLOOKUP($I287,'Privacy Analyst Evaluation'!$A$46:$F$120,4,0),""))&amp;""</f>
        <v/>
      </c>
      <c r="M287" s="209" t="str">
        <f>IFERROR(VLOOKUP($I287,'Institution Evaluation'!$A$55:$F$345,6,0),IFERROR(VLOOKUP($I287,'Privacy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2">
      <c r="A288" s="209" t="str">
        <f>IFERROR(IF($A287+1&gt;'(backend scoring)'!$T$335,"",$A287+1),"")</f>
        <v/>
      </c>
      <c r="B288" s="209" t="str">
        <f>_xlfn.XLOOKUP($A288,'(backend scoring)'!$V$2:$V$333,'(backend scoring)'!$A$2:$A$333,"")</f>
        <v/>
      </c>
      <c r="C288" s="209" t="str">
        <f>IFERROR(VLOOKUP($B288,'Institution Evaluation'!$A$55:$F$345,2,0),IFERROR(VLOOKUP($B288,'Privacy Analyst Evaluation'!$A$46:$F$120,2,0),""))&amp;""</f>
        <v/>
      </c>
      <c r="D288" s="209" t="str">
        <f>IFERROR(VLOOKUP($B288,'Institution Evaluation'!$A$55:$F$345,3,0),IFERROR(VLOOKUP($B288,'Privacy Analyst Evaluation'!$A$46:$F$120,3,0),""))&amp;""</f>
        <v/>
      </c>
      <c r="E288" s="209" t="str">
        <f>IFERROR(VLOOKUP($B288,'Institution Evaluation'!$A$55:$F$345,4,0),IFERROR(VLOOKUP($B288,'Privacy Analyst Evaluation'!$A$46:$F$120,4,0),""))&amp;""</f>
        <v/>
      </c>
      <c r="F288" s="209" t="str">
        <f>IFERROR(VLOOKUP($B288,'Institution Evaluation'!$A$55:$F$345,6,0),IFERROR(VLOOKUP($B288,'Privacy Analyst Evaluation'!$A$46:$F$120,6,0),""))&amp;""</f>
        <v/>
      </c>
      <c r="G288" s="210"/>
      <c r="H288" s="209" t="str">
        <f>IFERROR(IF($H287+1&gt;'(backend scoring)'!$Q$335,"",$H287+1),"")</f>
        <v/>
      </c>
      <c r="I288" s="209" t="str">
        <f>_xlfn.XLOOKUP($H288,'(backend scoring)'!$S$2:$S$333,'(backend scoring)'!$A$2:$A$333,"")</f>
        <v/>
      </c>
      <c r="J288" s="209" t="str">
        <f>IFERROR(VLOOKUP($I288,'Institution Evaluation'!$A$55:$F$345,2,0),IFERROR(VLOOKUP($I288,'Privacy Analyst Evaluation'!$A$46:$F$120,2,0),""))</f>
        <v/>
      </c>
      <c r="K288" s="209" t="str">
        <f>IFERROR(VLOOKUP($I288,'Institution Evaluation'!$A$55:$F$345,3,0),IFERROR(VLOOKUP($I288,'Privacy Analyst Evaluation'!$A$46:$F$120,3,0),""))&amp;""</f>
        <v/>
      </c>
      <c r="L288" s="209" t="str">
        <f>IFERROR(VLOOKUP($I288,'Institution Evaluation'!$A$55:$F$345,4,0),IFERROR(VLOOKUP($I288,'Privacy Analyst Evaluation'!$A$46:$F$120,4,0),""))&amp;""</f>
        <v/>
      </c>
      <c r="M288" s="209" t="str">
        <f>IFERROR(VLOOKUP($I288,'Institution Evaluation'!$A$55:$F$345,6,0),IFERROR(VLOOKUP($I288,'Privacy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2">
      <c r="A289" s="209" t="str">
        <f>IFERROR(IF($A288+1&gt;'(backend scoring)'!$T$335,"",$A288+1),"")</f>
        <v/>
      </c>
      <c r="B289" s="209" t="str">
        <f>_xlfn.XLOOKUP($A289,'(backend scoring)'!$V$2:$V$333,'(backend scoring)'!$A$2:$A$333,"")</f>
        <v/>
      </c>
      <c r="C289" s="209" t="str">
        <f>IFERROR(VLOOKUP($B289,'Institution Evaluation'!$A$55:$F$345,2,0),IFERROR(VLOOKUP($B289,'Privacy Analyst Evaluation'!$A$46:$F$120,2,0),""))&amp;""</f>
        <v/>
      </c>
      <c r="D289" s="209" t="str">
        <f>IFERROR(VLOOKUP($B289,'Institution Evaluation'!$A$55:$F$345,3,0),IFERROR(VLOOKUP($B289,'Privacy Analyst Evaluation'!$A$46:$F$120,3,0),""))&amp;""</f>
        <v/>
      </c>
      <c r="E289" s="209" t="str">
        <f>IFERROR(VLOOKUP($B289,'Institution Evaluation'!$A$55:$F$345,4,0),IFERROR(VLOOKUP($B289,'Privacy Analyst Evaluation'!$A$46:$F$120,4,0),""))&amp;""</f>
        <v/>
      </c>
      <c r="F289" s="209" t="str">
        <f>IFERROR(VLOOKUP($B289,'Institution Evaluation'!$A$55:$F$345,6,0),IFERROR(VLOOKUP($B289,'Privacy Analyst Evaluation'!$A$46:$F$120,6,0),""))&amp;""</f>
        <v/>
      </c>
      <c r="G289" s="210"/>
      <c r="H289" s="209" t="str">
        <f>IFERROR(IF($H288+1&gt;'(backend scoring)'!$Q$335,"",$H288+1),"")</f>
        <v/>
      </c>
      <c r="I289" s="209" t="str">
        <f>_xlfn.XLOOKUP($H289,'(backend scoring)'!$S$2:$S$333,'(backend scoring)'!$A$2:$A$333,"")</f>
        <v/>
      </c>
      <c r="J289" s="209" t="str">
        <f>IFERROR(VLOOKUP($I289,'Institution Evaluation'!$A$55:$F$345,2,0),IFERROR(VLOOKUP($I289,'Privacy Analyst Evaluation'!$A$46:$F$120,2,0),""))</f>
        <v/>
      </c>
      <c r="K289" s="209" t="str">
        <f>IFERROR(VLOOKUP($I289,'Institution Evaluation'!$A$55:$F$345,3,0),IFERROR(VLOOKUP($I289,'Privacy Analyst Evaluation'!$A$46:$F$120,3,0),""))&amp;""</f>
        <v/>
      </c>
      <c r="L289" s="209" t="str">
        <f>IFERROR(VLOOKUP($I289,'Institution Evaluation'!$A$55:$F$345,4,0),IFERROR(VLOOKUP($I289,'Privacy Analyst Evaluation'!$A$46:$F$120,4,0),""))&amp;""</f>
        <v/>
      </c>
      <c r="M289" s="209" t="str">
        <f>IFERROR(VLOOKUP($I289,'Institution Evaluation'!$A$55:$F$345,6,0),IFERROR(VLOOKUP($I289,'Privacy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2">
      <c r="A290" s="209" t="str">
        <f>IFERROR(IF($A289+1&gt;'(backend scoring)'!$T$335,"",$A289+1),"")</f>
        <v/>
      </c>
      <c r="B290" s="209" t="str">
        <f>_xlfn.XLOOKUP($A290,'(backend scoring)'!$V$2:$V$333,'(backend scoring)'!$A$2:$A$333,"")</f>
        <v/>
      </c>
      <c r="C290" s="209" t="str">
        <f>IFERROR(VLOOKUP($B290,'Institution Evaluation'!$A$55:$F$345,2,0),IFERROR(VLOOKUP($B290,'Privacy Analyst Evaluation'!$A$46:$F$120,2,0),""))&amp;""</f>
        <v/>
      </c>
      <c r="D290" s="209" t="str">
        <f>IFERROR(VLOOKUP($B290,'Institution Evaluation'!$A$55:$F$345,3,0),IFERROR(VLOOKUP($B290,'Privacy Analyst Evaluation'!$A$46:$F$120,3,0),""))&amp;""</f>
        <v/>
      </c>
      <c r="E290" s="209" t="str">
        <f>IFERROR(VLOOKUP($B290,'Institution Evaluation'!$A$55:$F$345,4,0),IFERROR(VLOOKUP($B290,'Privacy Analyst Evaluation'!$A$46:$F$120,4,0),""))&amp;""</f>
        <v/>
      </c>
      <c r="F290" s="209" t="str">
        <f>IFERROR(VLOOKUP($B290,'Institution Evaluation'!$A$55:$F$345,6,0),IFERROR(VLOOKUP($B290,'Privacy Analyst Evaluation'!$A$46:$F$120,6,0),""))&amp;""</f>
        <v/>
      </c>
      <c r="G290" s="210"/>
      <c r="H290" s="209" t="str">
        <f>IFERROR(IF($H289+1&gt;'(backend scoring)'!$Q$335,"",$H289+1),"")</f>
        <v/>
      </c>
      <c r="I290" s="209" t="str">
        <f>_xlfn.XLOOKUP($H290,'(backend scoring)'!$S$2:$S$333,'(backend scoring)'!$A$2:$A$333,"")</f>
        <v/>
      </c>
      <c r="J290" s="209" t="str">
        <f>IFERROR(VLOOKUP($I290,'Institution Evaluation'!$A$55:$F$345,2,0),IFERROR(VLOOKUP($I290,'Privacy Analyst Evaluation'!$A$46:$F$120,2,0),""))</f>
        <v/>
      </c>
      <c r="K290" s="209" t="str">
        <f>IFERROR(VLOOKUP($I290,'Institution Evaluation'!$A$55:$F$345,3,0),IFERROR(VLOOKUP($I290,'Privacy Analyst Evaluation'!$A$46:$F$120,3,0),""))&amp;""</f>
        <v/>
      </c>
      <c r="L290" s="209" t="str">
        <f>IFERROR(VLOOKUP($I290,'Institution Evaluation'!$A$55:$F$345,4,0),IFERROR(VLOOKUP($I290,'Privacy Analyst Evaluation'!$A$46:$F$120,4,0),""))&amp;""</f>
        <v/>
      </c>
      <c r="M290" s="209" t="str">
        <f>IFERROR(VLOOKUP($I290,'Institution Evaluation'!$A$55:$F$345,6,0),IFERROR(VLOOKUP($I290,'Privacy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2">
      <c r="A291" s="209" t="str">
        <f>IFERROR(IF($A290+1&gt;'(backend scoring)'!$T$335,"",$A290+1),"")</f>
        <v/>
      </c>
      <c r="B291" s="209" t="str">
        <f>_xlfn.XLOOKUP($A291,'(backend scoring)'!$V$2:$V$333,'(backend scoring)'!$A$2:$A$333,"")</f>
        <v/>
      </c>
      <c r="C291" s="209" t="str">
        <f>IFERROR(VLOOKUP($B291,'Institution Evaluation'!$A$55:$F$345,2,0),IFERROR(VLOOKUP($B291,'Privacy Analyst Evaluation'!$A$46:$F$120,2,0),""))&amp;""</f>
        <v/>
      </c>
      <c r="D291" s="209" t="str">
        <f>IFERROR(VLOOKUP($B291,'Institution Evaluation'!$A$55:$F$345,3,0),IFERROR(VLOOKUP($B291,'Privacy Analyst Evaluation'!$A$46:$F$120,3,0),""))&amp;""</f>
        <v/>
      </c>
      <c r="E291" s="209" t="str">
        <f>IFERROR(VLOOKUP($B291,'Institution Evaluation'!$A$55:$F$345,4,0),IFERROR(VLOOKUP($B291,'Privacy Analyst Evaluation'!$A$46:$F$120,4,0),""))&amp;""</f>
        <v/>
      </c>
      <c r="F291" s="209" t="str">
        <f>IFERROR(VLOOKUP($B291,'Institution Evaluation'!$A$55:$F$345,6,0),IFERROR(VLOOKUP($B291,'Privacy Analyst Evaluation'!$A$46:$F$120,6,0),""))&amp;""</f>
        <v/>
      </c>
      <c r="G291" s="210"/>
      <c r="H291" s="209" t="str">
        <f>IFERROR(IF($H290+1&gt;'(backend scoring)'!$Q$335,"",$H290+1),"")</f>
        <v/>
      </c>
      <c r="I291" s="209" t="str">
        <f>_xlfn.XLOOKUP($H291,'(backend scoring)'!$S$2:$S$333,'(backend scoring)'!$A$2:$A$333,"")</f>
        <v/>
      </c>
      <c r="J291" s="209" t="str">
        <f>IFERROR(VLOOKUP($I291,'Institution Evaluation'!$A$55:$F$345,2,0),IFERROR(VLOOKUP($I291,'Privacy Analyst Evaluation'!$A$46:$F$120,2,0),""))</f>
        <v/>
      </c>
      <c r="K291" s="209" t="str">
        <f>IFERROR(VLOOKUP($I291,'Institution Evaluation'!$A$55:$F$345,3,0),IFERROR(VLOOKUP($I291,'Privacy Analyst Evaluation'!$A$46:$F$120,3,0),""))&amp;""</f>
        <v/>
      </c>
      <c r="L291" s="209" t="str">
        <f>IFERROR(VLOOKUP($I291,'Institution Evaluation'!$A$55:$F$345,4,0),IFERROR(VLOOKUP($I291,'Privacy Analyst Evaluation'!$A$46:$F$120,4,0),""))&amp;""</f>
        <v/>
      </c>
      <c r="M291" s="209" t="str">
        <f>IFERROR(VLOOKUP($I291,'Institution Evaluation'!$A$55:$F$345,6,0),IFERROR(VLOOKUP($I291,'Privacy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2">
      <c r="A292" s="209" t="str">
        <f>IFERROR(IF($A291+1&gt;'(backend scoring)'!$T$335,"",$A291+1),"")</f>
        <v/>
      </c>
      <c r="B292" s="209" t="str">
        <f>_xlfn.XLOOKUP($A292,'(backend scoring)'!$V$2:$V$333,'(backend scoring)'!$A$2:$A$333,"")</f>
        <v/>
      </c>
      <c r="C292" s="209" t="str">
        <f>IFERROR(VLOOKUP($B292,'Institution Evaluation'!$A$55:$F$345,2,0),IFERROR(VLOOKUP($B292,'Privacy Analyst Evaluation'!$A$46:$F$120,2,0),""))&amp;""</f>
        <v/>
      </c>
      <c r="D292" s="209" t="str">
        <f>IFERROR(VLOOKUP($B292,'Institution Evaluation'!$A$55:$F$345,3,0),IFERROR(VLOOKUP($B292,'Privacy Analyst Evaluation'!$A$46:$F$120,3,0),""))&amp;""</f>
        <v/>
      </c>
      <c r="E292" s="209" t="str">
        <f>IFERROR(VLOOKUP($B292,'Institution Evaluation'!$A$55:$F$345,4,0),IFERROR(VLOOKUP($B292,'Privacy Analyst Evaluation'!$A$46:$F$120,4,0),""))&amp;""</f>
        <v/>
      </c>
      <c r="F292" s="209" t="str">
        <f>IFERROR(VLOOKUP($B292,'Institution Evaluation'!$A$55:$F$345,6,0),IFERROR(VLOOKUP($B292,'Privacy Analyst Evaluation'!$A$46:$F$120,6,0),""))&amp;""</f>
        <v/>
      </c>
      <c r="G292" s="210"/>
      <c r="H292" s="209" t="str">
        <f>IFERROR(IF($H291+1&gt;'(backend scoring)'!$Q$335,"",$H291+1),"")</f>
        <v/>
      </c>
      <c r="I292" s="209" t="str">
        <f>_xlfn.XLOOKUP($H292,'(backend scoring)'!$S$2:$S$333,'(backend scoring)'!$A$2:$A$333,"")</f>
        <v/>
      </c>
      <c r="J292" s="209" t="str">
        <f>IFERROR(VLOOKUP($I292,'Institution Evaluation'!$A$55:$F$345,2,0),IFERROR(VLOOKUP($I292,'Privacy Analyst Evaluation'!$A$46:$F$120,2,0),""))</f>
        <v/>
      </c>
      <c r="K292" s="209" t="str">
        <f>IFERROR(VLOOKUP($I292,'Institution Evaluation'!$A$55:$F$345,3,0),IFERROR(VLOOKUP($I292,'Privacy Analyst Evaluation'!$A$46:$F$120,3,0),""))&amp;""</f>
        <v/>
      </c>
      <c r="L292" s="209" t="str">
        <f>IFERROR(VLOOKUP($I292,'Institution Evaluation'!$A$55:$F$345,4,0),IFERROR(VLOOKUP($I292,'Privacy Analyst Evaluation'!$A$46:$F$120,4,0),""))&amp;""</f>
        <v/>
      </c>
      <c r="M292" s="209" t="str">
        <f>IFERROR(VLOOKUP($I292,'Institution Evaluation'!$A$55:$F$345,6,0),IFERROR(VLOOKUP($I292,'Privacy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2">
      <c r="A293" s="209" t="str">
        <f>IFERROR(IF($A292+1&gt;'(backend scoring)'!$T$335,"",$A292+1),"")</f>
        <v/>
      </c>
      <c r="B293" s="209" t="str">
        <f>_xlfn.XLOOKUP($A293,'(backend scoring)'!$V$2:$V$333,'(backend scoring)'!$A$2:$A$333,"")</f>
        <v/>
      </c>
      <c r="C293" s="209" t="str">
        <f>IFERROR(VLOOKUP($B293,'Institution Evaluation'!$A$55:$F$345,2,0),IFERROR(VLOOKUP($B293,'Privacy Analyst Evaluation'!$A$46:$F$120,2,0),""))&amp;""</f>
        <v/>
      </c>
      <c r="D293" s="209" t="str">
        <f>IFERROR(VLOOKUP($B293,'Institution Evaluation'!$A$55:$F$345,3,0),IFERROR(VLOOKUP($B293,'Privacy Analyst Evaluation'!$A$46:$F$120,3,0),""))&amp;""</f>
        <v/>
      </c>
      <c r="E293" s="209" t="str">
        <f>IFERROR(VLOOKUP($B293,'Institution Evaluation'!$A$55:$F$345,4,0),IFERROR(VLOOKUP($B293,'Privacy Analyst Evaluation'!$A$46:$F$120,4,0),""))&amp;""</f>
        <v/>
      </c>
      <c r="F293" s="209" t="str">
        <f>IFERROR(VLOOKUP($B293,'Institution Evaluation'!$A$55:$F$345,6,0),IFERROR(VLOOKUP($B293,'Privacy Analyst Evaluation'!$A$46:$F$120,6,0),""))&amp;""</f>
        <v/>
      </c>
      <c r="G293" s="210"/>
      <c r="H293" s="209" t="str">
        <f>IFERROR(IF($H292+1&gt;'(backend scoring)'!$Q$335,"",$H292+1),"")</f>
        <v/>
      </c>
      <c r="I293" s="209" t="str">
        <f>_xlfn.XLOOKUP($H293,'(backend scoring)'!$S$2:$S$333,'(backend scoring)'!$A$2:$A$333,"")</f>
        <v/>
      </c>
      <c r="J293" s="209" t="str">
        <f>IFERROR(VLOOKUP($I293,'Institution Evaluation'!$A$55:$F$345,2,0),IFERROR(VLOOKUP($I293,'Privacy Analyst Evaluation'!$A$46:$F$120,2,0),""))</f>
        <v/>
      </c>
      <c r="K293" s="209" t="str">
        <f>IFERROR(VLOOKUP($I293,'Institution Evaluation'!$A$55:$F$345,3,0),IFERROR(VLOOKUP($I293,'Privacy Analyst Evaluation'!$A$46:$F$120,3,0),""))&amp;""</f>
        <v/>
      </c>
      <c r="L293" s="209" t="str">
        <f>IFERROR(VLOOKUP($I293,'Institution Evaluation'!$A$55:$F$345,4,0),IFERROR(VLOOKUP($I293,'Privacy Analyst Evaluation'!$A$46:$F$120,4,0),""))&amp;""</f>
        <v/>
      </c>
      <c r="M293" s="209" t="str">
        <f>IFERROR(VLOOKUP($I293,'Institution Evaluation'!$A$55:$F$345,6,0),IFERROR(VLOOKUP($I293,'Privacy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2">
      <c r="A294" s="209" t="str">
        <f>IFERROR(IF($A293+1&gt;'(backend scoring)'!$T$335,"",$A293+1),"")</f>
        <v/>
      </c>
      <c r="B294" s="209" t="str">
        <f>_xlfn.XLOOKUP($A294,'(backend scoring)'!$V$2:$V$333,'(backend scoring)'!$A$2:$A$333,"")</f>
        <v/>
      </c>
      <c r="C294" s="209" t="str">
        <f>IFERROR(VLOOKUP($B294,'Institution Evaluation'!$A$55:$F$345,2,0),IFERROR(VLOOKUP($B294,'Privacy Analyst Evaluation'!$A$46:$F$120,2,0),""))&amp;""</f>
        <v/>
      </c>
      <c r="D294" s="209" t="str">
        <f>IFERROR(VLOOKUP($B294,'Institution Evaluation'!$A$55:$F$345,3,0),IFERROR(VLOOKUP($B294,'Privacy Analyst Evaluation'!$A$46:$F$120,3,0),""))&amp;""</f>
        <v/>
      </c>
      <c r="E294" s="209" t="str">
        <f>IFERROR(VLOOKUP($B294,'Institution Evaluation'!$A$55:$F$345,4,0),IFERROR(VLOOKUP($B294,'Privacy Analyst Evaluation'!$A$46:$F$120,4,0),""))&amp;""</f>
        <v/>
      </c>
      <c r="F294" s="209" t="str">
        <f>IFERROR(VLOOKUP($B294,'Institution Evaluation'!$A$55:$F$345,6,0),IFERROR(VLOOKUP($B294,'Privacy Analyst Evaluation'!$A$46:$F$120,6,0),""))&amp;""</f>
        <v/>
      </c>
      <c r="G294" s="210"/>
      <c r="H294" s="209" t="str">
        <f>IFERROR(IF($H293+1&gt;'(backend scoring)'!$Q$335,"",$H293+1),"")</f>
        <v/>
      </c>
      <c r="I294" s="209" t="str">
        <f>_xlfn.XLOOKUP($H294,'(backend scoring)'!$S$2:$S$333,'(backend scoring)'!$A$2:$A$333,"")</f>
        <v/>
      </c>
      <c r="J294" s="209" t="str">
        <f>IFERROR(VLOOKUP($I294,'Institution Evaluation'!$A$55:$F$345,2,0),IFERROR(VLOOKUP($I294,'Privacy Analyst Evaluation'!$A$46:$F$120,2,0),""))</f>
        <v/>
      </c>
      <c r="K294" s="209" t="str">
        <f>IFERROR(VLOOKUP($I294,'Institution Evaluation'!$A$55:$F$345,3,0),IFERROR(VLOOKUP($I294,'Privacy Analyst Evaluation'!$A$46:$F$120,3,0),""))&amp;""</f>
        <v/>
      </c>
      <c r="L294" s="209" t="str">
        <f>IFERROR(VLOOKUP($I294,'Institution Evaluation'!$A$55:$F$345,4,0),IFERROR(VLOOKUP($I294,'Privacy Analyst Evaluation'!$A$46:$F$120,4,0),""))&amp;""</f>
        <v/>
      </c>
      <c r="M294" s="209" t="str">
        <f>IFERROR(VLOOKUP($I294,'Institution Evaluation'!$A$55:$F$345,6,0),IFERROR(VLOOKUP($I294,'Privacy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2">
      <c r="A295" s="209" t="str">
        <f>IFERROR(IF($A294+1&gt;'(backend scoring)'!$T$335,"",$A294+1),"")</f>
        <v/>
      </c>
      <c r="B295" s="209" t="str">
        <f>_xlfn.XLOOKUP($A295,'(backend scoring)'!$V$2:$V$333,'(backend scoring)'!$A$2:$A$333,"")</f>
        <v/>
      </c>
      <c r="C295" s="209" t="str">
        <f>IFERROR(VLOOKUP($B295,'Institution Evaluation'!$A$55:$F$345,2,0),IFERROR(VLOOKUP($B295,'Privacy Analyst Evaluation'!$A$46:$F$120,2,0),""))&amp;""</f>
        <v/>
      </c>
      <c r="D295" s="209" t="str">
        <f>IFERROR(VLOOKUP($B295,'Institution Evaluation'!$A$55:$F$345,3,0),IFERROR(VLOOKUP($B295,'Privacy Analyst Evaluation'!$A$46:$F$120,3,0),""))&amp;""</f>
        <v/>
      </c>
      <c r="E295" s="209" t="str">
        <f>IFERROR(VLOOKUP($B295,'Institution Evaluation'!$A$55:$F$345,4,0),IFERROR(VLOOKUP($B295,'Privacy Analyst Evaluation'!$A$46:$F$120,4,0),""))&amp;""</f>
        <v/>
      </c>
      <c r="F295" s="209" t="str">
        <f>IFERROR(VLOOKUP($B295,'Institution Evaluation'!$A$55:$F$345,6,0),IFERROR(VLOOKUP($B295,'Privacy Analyst Evaluation'!$A$46:$F$120,6,0),""))&amp;""</f>
        <v/>
      </c>
      <c r="G295" s="210"/>
      <c r="H295" s="209" t="str">
        <f>IFERROR(IF($H294+1&gt;'(backend scoring)'!$Q$335,"",$H294+1),"")</f>
        <v/>
      </c>
      <c r="I295" s="209" t="str">
        <f>_xlfn.XLOOKUP($H295,'(backend scoring)'!$S$2:$S$333,'(backend scoring)'!$A$2:$A$333,"")</f>
        <v/>
      </c>
      <c r="J295" s="209" t="str">
        <f>IFERROR(VLOOKUP($I295,'Institution Evaluation'!$A$55:$F$345,2,0),IFERROR(VLOOKUP($I295,'Privacy Analyst Evaluation'!$A$46:$F$120,2,0),""))</f>
        <v/>
      </c>
      <c r="K295" s="209" t="str">
        <f>IFERROR(VLOOKUP($I295,'Institution Evaluation'!$A$55:$F$345,3,0),IFERROR(VLOOKUP($I295,'Privacy Analyst Evaluation'!$A$46:$F$120,3,0),""))&amp;""</f>
        <v/>
      </c>
      <c r="L295" s="209" t="str">
        <f>IFERROR(VLOOKUP($I295,'Institution Evaluation'!$A$55:$F$345,4,0),IFERROR(VLOOKUP($I295,'Privacy Analyst Evaluation'!$A$46:$F$120,4,0),""))&amp;""</f>
        <v/>
      </c>
      <c r="M295" s="209" t="str">
        <f>IFERROR(VLOOKUP($I295,'Institution Evaluation'!$A$55:$F$345,6,0),IFERROR(VLOOKUP($I295,'Privacy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2">
      <c r="A296" s="209" t="str">
        <f>IFERROR(IF($A295+1&gt;'(backend scoring)'!$T$335,"",$A295+1),"")</f>
        <v/>
      </c>
      <c r="B296" s="209" t="str">
        <f>_xlfn.XLOOKUP($A296,'(backend scoring)'!$V$2:$V$333,'(backend scoring)'!$A$2:$A$333,"")</f>
        <v/>
      </c>
      <c r="C296" s="209" t="str">
        <f>IFERROR(VLOOKUP($B296,'Institution Evaluation'!$A$55:$F$345,2,0),IFERROR(VLOOKUP($B296,'Privacy Analyst Evaluation'!$A$46:$F$120,2,0),""))&amp;""</f>
        <v/>
      </c>
      <c r="D296" s="209" t="str">
        <f>IFERROR(VLOOKUP($B296,'Institution Evaluation'!$A$55:$F$345,3,0),IFERROR(VLOOKUP($B296,'Privacy Analyst Evaluation'!$A$46:$F$120,3,0),""))&amp;""</f>
        <v/>
      </c>
      <c r="E296" s="209" t="str">
        <f>IFERROR(VLOOKUP($B296,'Institution Evaluation'!$A$55:$F$345,4,0),IFERROR(VLOOKUP($B296,'Privacy Analyst Evaluation'!$A$46:$F$120,4,0),""))&amp;""</f>
        <v/>
      </c>
      <c r="F296" s="209" t="str">
        <f>IFERROR(VLOOKUP($B296,'Institution Evaluation'!$A$55:$F$345,6,0),IFERROR(VLOOKUP($B296,'Privacy Analyst Evaluation'!$A$46:$F$120,6,0),""))&amp;""</f>
        <v/>
      </c>
      <c r="G296" s="210"/>
      <c r="H296" s="209" t="str">
        <f>IFERROR(IF($H295+1&gt;'(backend scoring)'!$Q$335,"",$H295+1),"")</f>
        <v/>
      </c>
      <c r="I296" s="209" t="str">
        <f>_xlfn.XLOOKUP($H296,'(backend scoring)'!$S$2:$S$333,'(backend scoring)'!$A$2:$A$333,"")</f>
        <v/>
      </c>
      <c r="J296" s="209" t="str">
        <f>IFERROR(VLOOKUP($I296,'Institution Evaluation'!$A$55:$F$345,2,0),IFERROR(VLOOKUP($I296,'Privacy Analyst Evaluation'!$A$46:$F$120,2,0),""))</f>
        <v/>
      </c>
      <c r="K296" s="209" t="str">
        <f>IFERROR(VLOOKUP($I296,'Institution Evaluation'!$A$55:$F$345,3,0),IFERROR(VLOOKUP($I296,'Privacy Analyst Evaluation'!$A$46:$F$120,3,0),""))&amp;""</f>
        <v/>
      </c>
      <c r="L296" s="209" t="str">
        <f>IFERROR(VLOOKUP($I296,'Institution Evaluation'!$A$55:$F$345,4,0),IFERROR(VLOOKUP($I296,'Privacy Analyst Evaluation'!$A$46:$F$120,4,0),""))&amp;""</f>
        <v/>
      </c>
      <c r="M296" s="209" t="str">
        <f>IFERROR(VLOOKUP($I296,'Institution Evaluation'!$A$55:$F$345,6,0),IFERROR(VLOOKUP($I296,'Privacy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2">
      <c r="A297" s="209" t="str">
        <f>IFERROR(IF($A296+1&gt;'(backend scoring)'!$T$335,"",$A296+1),"")</f>
        <v/>
      </c>
      <c r="B297" s="209" t="str">
        <f>_xlfn.XLOOKUP($A297,'(backend scoring)'!$V$2:$V$333,'(backend scoring)'!$A$2:$A$333,"")</f>
        <v/>
      </c>
      <c r="C297" s="209" t="str">
        <f>IFERROR(VLOOKUP($B297,'Institution Evaluation'!$A$55:$F$345,2,0),IFERROR(VLOOKUP($B297,'Privacy Analyst Evaluation'!$A$46:$F$120,2,0),""))&amp;""</f>
        <v/>
      </c>
      <c r="D297" s="209" t="str">
        <f>IFERROR(VLOOKUP($B297,'Institution Evaluation'!$A$55:$F$345,3,0),IFERROR(VLOOKUP($B297,'Privacy Analyst Evaluation'!$A$46:$F$120,3,0),""))&amp;""</f>
        <v/>
      </c>
      <c r="E297" s="209" t="str">
        <f>IFERROR(VLOOKUP($B297,'Institution Evaluation'!$A$55:$F$345,4,0),IFERROR(VLOOKUP($B297,'Privacy Analyst Evaluation'!$A$46:$F$120,4,0),""))&amp;""</f>
        <v/>
      </c>
      <c r="F297" s="209" t="str">
        <f>IFERROR(VLOOKUP($B297,'Institution Evaluation'!$A$55:$F$345,6,0),IFERROR(VLOOKUP($B297,'Privacy Analyst Evaluation'!$A$46:$F$120,6,0),""))&amp;""</f>
        <v/>
      </c>
      <c r="G297" s="210"/>
      <c r="H297" s="209" t="str">
        <f>IFERROR(IF($H296+1&gt;'(backend scoring)'!$Q$335,"",$H296+1),"")</f>
        <v/>
      </c>
      <c r="I297" s="209" t="str">
        <f>_xlfn.XLOOKUP($H297,'(backend scoring)'!$S$2:$S$333,'(backend scoring)'!$A$2:$A$333,"")</f>
        <v/>
      </c>
      <c r="J297" s="209" t="str">
        <f>IFERROR(VLOOKUP($I297,'Institution Evaluation'!$A$55:$F$345,2,0),IFERROR(VLOOKUP($I297,'Privacy Analyst Evaluation'!$A$46:$F$120,2,0),""))</f>
        <v/>
      </c>
      <c r="K297" s="209" t="str">
        <f>IFERROR(VLOOKUP($I297,'Institution Evaluation'!$A$55:$F$345,3,0),IFERROR(VLOOKUP($I297,'Privacy Analyst Evaluation'!$A$46:$F$120,3,0),""))&amp;""</f>
        <v/>
      </c>
      <c r="L297" s="209" t="str">
        <f>IFERROR(VLOOKUP($I297,'Institution Evaluation'!$A$55:$F$345,4,0),IFERROR(VLOOKUP($I297,'Privacy Analyst Evaluation'!$A$46:$F$120,4,0),""))&amp;""</f>
        <v/>
      </c>
      <c r="M297" s="209" t="str">
        <f>IFERROR(VLOOKUP($I297,'Institution Evaluation'!$A$55:$F$345,6,0),IFERROR(VLOOKUP($I297,'Privacy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2">
      <c r="A298" s="209" t="str">
        <f>IFERROR(IF($A297+1&gt;'(backend scoring)'!$T$335,"",$A297+1),"")</f>
        <v/>
      </c>
      <c r="B298" s="209" t="str">
        <f>_xlfn.XLOOKUP($A298,'(backend scoring)'!$V$2:$V$333,'(backend scoring)'!$A$2:$A$333,"")</f>
        <v/>
      </c>
      <c r="C298" s="209" t="str">
        <f>IFERROR(VLOOKUP($B298,'Institution Evaluation'!$A$55:$F$345,2,0),IFERROR(VLOOKUP($B298,'Privacy Analyst Evaluation'!$A$46:$F$120,2,0),""))&amp;""</f>
        <v/>
      </c>
      <c r="D298" s="209" t="str">
        <f>IFERROR(VLOOKUP($B298,'Institution Evaluation'!$A$55:$F$345,3,0),IFERROR(VLOOKUP($B298,'Privacy Analyst Evaluation'!$A$46:$F$120,3,0),""))&amp;""</f>
        <v/>
      </c>
      <c r="E298" s="209" t="str">
        <f>IFERROR(VLOOKUP($B298,'Institution Evaluation'!$A$55:$F$345,4,0),IFERROR(VLOOKUP($B298,'Privacy Analyst Evaluation'!$A$46:$F$120,4,0),""))&amp;""</f>
        <v/>
      </c>
      <c r="F298" s="209" t="str">
        <f>IFERROR(VLOOKUP($B298,'Institution Evaluation'!$A$55:$F$345,6,0),IFERROR(VLOOKUP($B298,'Privacy Analyst Evaluation'!$A$46:$F$120,6,0),""))&amp;""</f>
        <v/>
      </c>
      <c r="G298" s="210"/>
      <c r="H298" s="209" t="str">
        <f>IFERROR(IF($H297+1&gt;'(backend scoring)'!$Q$335,"",$H297+1),"")</f>
        <v/>
      </c>
      <c r="I298" s="209" t="str">
        <f>_xlfn.XLOOKUP($H298,'(backend scoring)'!$S$2:$S$333,'(backend scoring)'!$A$2:$A$333,"")</f>
        <v/>
      </c>
      <c r="J298" s="209" t="str">
        <f>IFERROR(VLOOKUP($I298,'Institution Evaluation'!$A$55:$F$345,2,0),IFERROR(VLOOKUP($I298,'Privacy Analyst Evaluation'!$A$46:$F$120,2,0),""))</f>
        <v/>
      </c>
      <c r="K298" s="209" t="str">
        <f>IFERROR(VLOOKUP($I298,'Institution Evaluation'!$A$55:$F$345,3,0),IFERROR(VLOOKUP($I298,'Privacy Analyst Evaluation'!$A$46:$F$120,3,0),""))&amp;""</f>
        <v/>
      </c>
      <c r="L298" s="209" t="str">
        <f>IFERROR(VLOOKUP($I298,'Institution Evaluation'!$A$55:$F$345,4,0),IFERROR(VLOOKUP($I298,'Privacy Analyst Evaluation'!$A$46:$F$120,4,0),""))&amp;""</f>
        <v/>
      </c>
      <c r="M298" s="209" t="str">
        <f>IFERROR(VLOOKUP($I298,'Institution Evaluation'!$A$55:$F$345,6,0),IFERROR(VLOOKUP($I298,'Privacy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2">
      <c r="A299" s="209" t="str">
        <f>IFERROR(IF($A298+1&gt;'(backend scoring)'!$T$335,"",$A298+1),"")</f>
        <v/>
      </c>
      <c r="B299" s="209" t="str">
        <f>_xlfn.XLOOKUP($A299,'(backend scoring)'!$V$2:$V$333,'(backend scoring)'!$A$2:$A$333,"")</f>
        <v/>
      </c>
      <c r="C299" s="209" t="str">
        <f>IFERROR(VLOOKUP($B299,'Institution Evaluation'!$A$55:$F$345,2,0),IFERROR(VLOOKUP($B299,'Privacy Analyst Evaluation'!$A$46:$F$120,2,0),""))&amp;""</f>
        <v/>
      </c>
      <c r="D299" s="209" t="str">
        <f>IFERROR(VLOOKUP($B299,'Institution Evaluation'!$A$55:$F$345,3,0),IFERROR(VLOOKUP($B299,'Privacy Analyst Evaluation'!$A$46:$F$120,3,0),""))&amp;""</f>
        <v/>
      </c>
      <c r="E299" s="209" t="str">
        <f>IFERROR(VLOOKUP($B299,'Institution Evaluation'!$A$55:$F$345,4,0),IFERROR(VLOOKUP($B299,'Privacy Analyst Evaluation'!$A$46:$F$120,4,0),""))&amp;""</f>
        <v/>
      </c>
      <c r="F299" s="209" t="str">
        <f>IFERROR(VLOOKUP($B299,'Institution Evaluation'!$A$55:$F$345,6,0),IFERROR(VLOOKUP($B299,'Privacy Analyst Evaluation'!$A$46:$F$120,6,0),""))&amp;""</f>
        <v/>
      </c>
      <c r="G299" s="210"/>
      <c r="H299" s="209" t="str">
        <f>IFERROR(IF($H298+1&gt;'(backend scoring)'!$Q$335,"",$H298+1),"")</f>
        <v/>
      </c>
      <c r="I299" s="209" t="str">
        <f>_xlfn.XLOOKUP($H299,'(backend scoring)'!$S$2:$S$333,'(backend scoring)'!$A$2:$A$333,"")</f>
        <v/>
      </c>
      <c r="J299" s="209" t="str">
        <f>IFERROR(VLOOKUP($I299,'Institution Evaluation'!$A$55:$F$345,2,0),IFERROR(VLOOKUP($I299,'Privacy Analyst Evaluation'!$A$46:$F$120,2,0),""))</f>
        <v/>
      </c>
      <c r="K299" s="209" t="str">
        <f>IFERROR(VLOOKUP($I299,'Institution Evaluation'!$A$55:$F$345,3,0),IFERROR(VLOOKUP($I299,'Privacy Analyst Evaluation'!$A$46:$F$120,3,0),""))&amp;""</f>
        <v/>
      </c>
      <c r="L299" s="209" t="str">
        <f>IFERROR(VLOOKUP($I299,'Institution Evaluation'!$A$55:$F$345,4,0),IFERROR(VLOOKUP($I299,'Privacy Analyst Evaluation'!$A$46:$F$120,4,0),""))&amp;""</f>
        <v/>
      </c>
      <c r="M299" s="209" t="str">
        <f>IFERROR(VLOOKUP($I299,'Institution Evaluation'!$A$55:$F$345,6,0),IFERROR(VLOOKUP($I299,'Privacy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2">
      <c r="A300" s="209" t="str">
        <f>IFERROR(IF($A299+1&gt;'(backend scoring)'!$T$335,"",$A299+1),"")</f>
        <v/>
      </c>
      <c r="B300" s="209" t="str">
        <f>_xlfn.XLOOKUP($A300,'(backend scoring)'!$V$2:$V$333,'(backend scoring)'!$A$2:$A$333,"")</f>
        <v/>
      </c>
      <c r="C300" s="209" t="str">
        <f>IFERROR(VLOOKUP($B300,'Institution Evaluation'!$A$55:$F$345,2,0),IFERROR(VLOOKUP($B300,'Privacy Analyst Evaluation'!$A$46:$F$120,2,0),""))&amp;""</f>
        <v/>
      </c>
      <c r="D300" s="209" t="str">
        <f>IFERROR(VLOOKUP($B300,'Institution Evaluation'!$A$55:$F$345,3,0),IFERROR(VLOOKUP($B300,'Privacy Analyst Evaluation'!$A$46:$F$120,3,0),""))&amp;""</f>
        <v/>
      </c>
      <c r="E300" s="209" t="str">
        <f>IFERROR(VLOOKUP($B300,'Institution Evaluation'!$A$55:$F$345,4,0),IFERROR(VLOOKUP($B300,'Privacy Analyst Evaluation'!$A$46:$F$120,4,0),""))&amp;""</f>
        <v/>
      </c>
      <c r="F300" s="209" t="str">
        <f>IFERROR(VLOOKUP($B300,'Institution Evaluation'!$A$55:$F$345,6,0),IFERROR(VLOOKUP($B300,'Privacy Analyst Evaluation'!$A$46:$F$120,6,0),""))&amp;""</f>
        <v/>
      </c>
      <c r="G300" s="210"/>
      <c r="H300" s="209" t="str">
        <f>IFERROR(IF($H299+1&gt;'(backend scoring)'!$Q$335,"",$H299+1),"")</f>
        <v/>
      </c>
      <c r="I300" s="209" t="str">
        <f>_xlfn.XLOOKUP($H300,'(backend scoring)'!$S$2:$S$333,'(backend scoring)'!$A$2:$A$333,"")</f>
        <v/>
      </c>
      <c r="J300" s="209" t="str">
        <f>IFERROR(VLOOKUP($I300,'Institution Evaluation'!$A$55:$F$345,2,0),IFERROR(VLOOKUP($I300,'Privacy Analyst Evaluation'!$A$46:$F$120,2,0),""))</f>
        <v/>
      </c>
      <c r="K300" s="209" t="str">
        <f>IFERROR(VLOOKUP($I300,'Institution Evaluation'!$A$55:$F$345,3,0),IFERROR(VLOOKUP($I300,'Privacy Analyst Evaluation'!$A$46:$F$120,3,0),""))&amp;""</f>
        <v/>
      </c>
      <c r="L300" s="209" t="str">
        <f>IFERROR(VLOOKUP($I300,'Institution Evaluation'!$A$55:$F$345,4,0),IFERROR(VLOOKUP($I300,'Privacy Analyst Evaluation'!$A$46:$F$120,4,0),""))&amp;""</f>
        <v/>
      </c>
      <c r="M300" s="209" t="str">
        <f>IFERROR(VLOOKUP($I300,'Institution Evaluation'!$A$55:$F$345,6,0),IFERROR(VLOOKUP($I300,'Privacy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2">
      <c r="A301" s="209" t="str">
        <f>IFERROR(IF($A300+1&gt;'(backend scoring)'!$T$335,"",$A300+1),"")</f>
        <v/>
      </c>
      <c r="B301" s="209" t="str">
        <f>_xlfn.XLOOKUP($A301,'(backend scoring)'!$V$2:$V$333,'(backend scoring)'!$A$2:$A$333,"")</f>
        <v/>
      </c>
      <c r="C301" s="209" t="str">
        <f>IFERROR(VLOOKUP($B301,'Institution Evaluation'!$A$55:$F$345,2,0),IFERROR(VLOOKUP($B301,'Privacy Analyst Evaluation'!$A$46:$F$120,2,0),""))&amp;""</f>
        <v/>
      </c>
      <c r="D301" s="209" t="str">
        <f>IFERROR(VLOOKUP($B301,'Institution Evaluation'!$A$55:$F$345,3,0),IFERROR(VLOOKUP($B301,'Privacy Analyst Evaluation'!$A$46:$F$120,3,0),""))&amp;""</f>
        <v/>
      </c>
      <c r="E301" s="209" t="str">
        <f>IFERROR(VLOOKUP($B301,'Institution Evaluation'!$A$55:$F$345,4,0),IFERROR(VLOOKUP($B301,'Privacy Analyst Evaluation'!$A$46:$F$120,4,0),""))&amp;""</f>
        <v/>
      </c>
      <c r="F301" s="209" t="str">
        <f>IFERROR(VLOOKUP($B301,'Institution Evaluation'!$A$55:$F$345,6,0),IFERROR(VLOOKUP($B301,'Privacy Analyst Evaluation'!$A$46:$F$120,6,0),""))&amp;""</f>
        <v/>
      </c>
      <c r="G301" s="210"/>
      <c r="H301" s="209" t="str">
        <f>IFERROR(IF($H300+1&gt;'(backend scoring)'!$Q$335,"",$H300+1),"")</f>
        <v/>
      </c>
      <c r="I301" s="209" t="str">
        <f>_xlfn.XLOOKUP($H301,'(backend scoring)'!$S$2:$S$333,'(backend scoring)'!$A$2:$A$333,"")</f>
        <v/>
      </c>
      <c r="J301" s="209" t="str">
        <f>IFERROR(VLOOKUP($I301,'Institution Evaluation'!$A$55:$F$345,2,0),IFERROR(VLOOKUP($I301,'Privacy Analyst Evaluation'!$A$46:$F$120,2,0),""))</f>
        <v/>
      </c>
      <c r="K301" s="209" t="str">
        <f>IFERROR(VLOOKUP($I301,'Institution Evaluation'!$A$55:$F$345,3,0),IFERROR(VLOOKUP($I301,'Privacy Analyst Evaluation'!$A$46:$F$120,3,0),""))&amp;""</f>
        <v/>
      </c>
      <c r="L301" s="209" t="str">
        <f>IFERROR(VLOOKUP($I301,'Institution Evaluation'!$A$55:$F$345,4,0),IFERROR(VLOOKUP($I301,'Privacy Analyst Evaluation'!$A$46:$F$120,4,0),""))&amp;""</f>
        <v/>
      </c>
      <c r="M301" s="209" t="str">
        <f>IFERROR(VLOOKUP($I301,'Institution Evaluation'!$A$55:$F$345,6,0),IFERROR(VLOOKUP($I301,'Privacy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2">
      <c r="A302" s="209" t="str">
        <f>IFERROR(IF($A301+1&gt;'(backend scoring)'!$T$335,"",$A301+1),"")</f>
        <v/>
      </c>
      <c r="B302" s="209" t="str">
        <f>_xlfn.XLOOKUP($A302,'(backend scoring)'!$V$2:$V$333,'(backend scoring)'!$A$2:$A$333,"")</f>
        <v/>
      </c>
      <c r="C302" s="209" t="str">
        <f>IFERROR(VLOOKUP($B302,'Institution Evaluation'!$A$55:$F$345,2,0),IFERROR(VLOOKUP($B302,'Privacy Analyst Evaluation'!$A$46:$F$120,2,0),""))&amp;""</f>
        <v/>
      </c>
      <c r="D302" s="209" t="str">
        <f>IFERROR(VLOOKUP($B302,'Institution Evaluation'!$A$55:$F$345,3,0),IFERROR(VLOOKUP($B302,'Privacy Analyst Evaluation'!$A$46:$F$120,3,0),""))&amp;""</f>
        <v/>
      </c>
      <c r="E302" s="209" t="str">
        <f>IFERROR(VLOOKUP($B302,'Institution Evaluation'!$A$55:$F$345,4,0),IFERROR(VLOOKUP($B302,'Privacy Analyst Evaluation'!$A$46:$F$120,4,0),""))&amp;""</f>
        <v/>
      </c>
      <c r="F302" s="209" t="str">
        <f>IFERROR(VLOOKUP($B302,'Institution Evaluation'!$A$55:$F$345,6,0),IFERROR(VLOOKUP($B302,'Privacy Analyst Evaluation'!$A$46:$F$120,6,0),""))&amp;""</f>
        <v/>
      </c>
      <c r="G302" s="210"/>
      <c r="H302" s="209" t="str">
        <f>IFERROR(IF($H301+1&gt;'(backend scoring)'!$Q$335,"",$H301+1),"")</f>
        <v/>
      </c>
      <c r="I302" s="209" t="str">
        <f>_xlfn.XLOOKUP($H302,'(backend scoring)'!$S$2:$S$333,'(backend scoring)'!$A$2:$A$333,"")</f>
        <v/>
      </c>
      <c r="J302" s="209" t="str">
        <f>IFERROR(VLOOKUP($I302,'Institution Evaluation'!$A$55:$F$345,2,0),IFERROR(VLOOKUP($I302,'Privacy Analyst Evaluation'!$A$46:$F$120,2,0),""))</f>
        <v/>
      </c>
      <c r="K302" s="209" t="str">
        <f>IFERROR(VLOOKUP($I302,'Institution Evaluation'!$A$55:$F$345,3,0),IFERROR(VLOOKUP($I302,'Privacy Analyst Evaluation'!$A$46:$F$120,3,0),""))&amp;""</f>
        <v/>
      </c>
      <c r="L302" s="209" t="str">
        <f>IFERROR(VLOOKUP($I302,'Institution Evaluation'!$A$55:$F$345,4,0),IFERROR(VLOOKUP($I302,'Privacy Analyst Evaluation'!$A$46:$F$120,4,0),""))&amp;""</f>
        <v/>
      </c>
      <c r="M302" s="209" t="str">
        <f>IFERROR(VLOOKUP($I302,'Institution Evaluation'!$A$55:$F$345,6,0),IFERROR(VLOOKUP($I302,'Privacy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2">
      <c r="A303" s="209" t="str">
        <f>IFERROR(IF($A302+1&gt;'(backend scoring)'!$T$335,"",$A302+1),"")</f>
        <v/>
      </c>
      <c r="B303" s="209" t="str">
        <f>_xlfn.XLOOKUP($A303,'(backend scoring)'!$V$2:$V$333,'(backend scoring)'!$A$2:$A$333,"")</f>
        <v/>
      </c>
      <c r="C303" s="209" t="str">
        <f>IFERROR(VLOOKUP($B303,'Institution Evaluation'!$A$55:$F$345,2,0),IFERROR(VLOOKUP($B303,'Privacy Analyst Evaluation'!$A$46:$F$120,2,0),""))&amp;""</f>
        <v/>
      </c>
      <c r="D303" s="209" t="str">
        <f>IFERROR(VLOOKUP($B303,'Institution Evaluation'!$A$55:$F$345,3,0),IFERROR(VLOOKUP($B303,'Privacy Analyst Evaluation'!$A$46:$F$120,3,0),""))&amp;""</f>
        <v/>
      </c>
      <c r="E303" s="209" t="str">
        <f>IFERROR(VLOOKUP($B303,'Institution Evaluation'!$A$55:$F$345,4,0),IFERROR(VLOOKUP($B303,'Privacy Analyst Evaluation'!$A$46:$F$120,4,0),""))&amp;""</f>
        <v/>
      </c>
      <c r="F303" s="209" t="str">
        <f>IFERROR(VLOOKUP($B303,'Institution Evaluation'!$A$55:$F$345,6,0),IFERROR(VLOOKUP($B303,'Privacy Analyst Evaluation'!$A$46:$F$120,6,0),""))&amp;""</f>
        <v/>
      </c>
      <c r="G303" s="210"/>
      <c r="H303" s="209" t="str">
        <f>IFERROR(IF($H302+1&gt;'(backend scoring)'!$Q$335,"",$H302+1),"")</f>
        <v/>
      </c>
      <c r="I303" s="209" t="str">
        <f>_xlfn.XLOOKUP($H303,'(backend scoring)'!$S$2:$S$333,'(backend scoring)'!$A$2:$A$333,"")</f>
        <v/>
      </c>
      <c r="J303" s="209" t="str">
        <f>IFERROR(VLOOKUP($I303,'Institution Evaluation'!$A$55:$F$345,2,0),IFERROR(VLOOKUP($I303,'Privacy Analyst Evaluation'!$A$46:$F$120,2,0),""))</f>
        <v/>
      </c>
      <c r="K303" s="209" t="str">
        <f>IFERROR(VLOOKUP($I303,'Institution Evaluation'!$A$55:$F$345,3,0),IFERROR(VLOOKUP($I303,'Privacy Analyst Evaluation'!$A$46:$F$120,3,0),""))&amp;""</f>
        <v/>
      </c>
      <c r="L303" s="209" t="str">
        <f>IFERROR(VLOOKUP($I303,'Institution Evaluation'!$A$55:$F$345,4,0),IFERROR(VLOOKUP($I303,'Privacy Analyst Evaluation'!$A$46:$F$120,4,0),""))&amp;""</f>
        <v/>
      </c>
      <c r="M303" s="209" t="str">
        <f>IFERROR(VLOOKUP($I303,'Institution Evaluation'!$A$55:$F$345,6,0),IFERROR(VLOOKUP($I303,'Privacy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2">
      <c r="A304" s="209" t="str">
        <f>IFERROR(IF($A303+1&gt;'(backend scoring)'!$T$335,"",$A303+1),"")</f>
        <v/>
      </c>
      <c r="B304" s="209" t="str">
        <f>_xlfn.XLOOKUP($A304,'(backend scoring)'!$V$2:$V$333,'(backend scoring)'!$A$2:$A$333,"")</f>
        <v/>
      </c>
      <c r="C304" s="209" t="str">
        <f>IFERROR(VLOOKUP($B304,'Institution Evaluation'!$A$55:$F$345,2,0),IFERROR(VLOOKUP($B304,'Privacy Analyst Evaluation'!$A$46:$F$120,2,0),""))&amp;""</f>
        <v/>
      </c>
      <c r="D304" s="209" t="str">
        <f>IFERROR(VLOOKUP($B304,'Institution Evaluation'!$A$55:$F$345,3,0),IFERROR(VLOOKUP($B304,'Privacy Analyst Evaluation'!$A$46:$F$120,3,0),""))&amp;""</f>
        <v/>
      </c>
      <c r="E304" s="209" t="str">
        <f>IFERROR(VLOOKUP($B304,'Institution Evaluation'!$A$55:$F$345,4,0),IFERROR(VLOOKUP($B304,'Privacy Analyst Evaluation'!$A$46:$F$120,4,0),""))&amp;""</f>
        <v/>
      </c>
      <c r="F304" s="209" t="str">
        <f>IFERROR(VLOOKUP($B304,'Institution Evaluation'!$A$55:$F$345,6,0),IFERROR(VLOOKUP($B304,'Privacy Analyst Evaluation'!$A$46:$F$120,6,0),""))&amp;""</f>
        <v/>
      </c>
      <c r="G304" s="210"/>
      <c r="H304" s="209" t="str">
        <f>IFERROR(IF($H303+1&gt;'(backend scoring)'!$Q$335,"",$H303+1),"")</f>
        <v/>
      </c>
      <c r="I304" s="209" t="str">
        <f>_xlfn.XLOOKUP($H304,'(backend scoring)'!$S$2:$S$333,'(backend scoring)'!$A$2:$A$333,"")</f>
        <v/>
      </c>
      <c r="J304" s="209" t="str">
        <f>IFERROR(VLOOKUP($I304,'Institution Evaluation'!$A$55:$F$345,2,0),IFERROR(VLOOKUP($I304,'Privacy Analyst Evaluation'!$A$46:$F$120,2,0),""))</f>
        <v/>
      </c>
      <c r="K304" s="209" t="str">
        <f>IFERROR(VLOOKUP($I304,'Institution Evaluation'!$A$55:$F$345,3,0),IFERROR(VLOOKUP($I304,'Privacy Analyst Evaluation'!$A$46:$F$120,3,0),""))&amp;""</f>
        <v/>
      </c>
      <c r="L304" s="209" t="str">
        <f>IFERROR(VLOOKUP($I304,'Institution Evaluation'!$A$55:$F$345,4,0),IFERROR(VLOOKUP($I304,'Privacy Analyst Evaluation'!$A$46:$F$120,4,0),""))&amp;""</f>
        <v/>
      </c>
      <c r="M304" s="209" t="str">
        <f>IFERROR(VLOOKUP($I304,'Institution Evaluation'!$A$55:$F$345,6,0),IFERROR(VLOOKUP($I304,'Privacy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2">
      <c r="A305" s="209" t="str">
        <f>IFERROR(IF($A304+1&gt;'(backend scoring)'!$T$335,"",$A304+1),"")</f>
        <v/>
      </c>
      <c r="B305" s="209" t="str">
        <f>_xlfn.XLOOKUP($A305,'(backend scoring)'!$V$2:$V$333,'(backend scoring)'!$A$2:$A$333,"")</f>
        <v/>
      </c>
      <c r="C305" s="209" t="str">
        <f>IFERROR(VLOOKUP($B305,'Institution Evaluation'!$A$55:$F$345,2,0),IFERROR(VLOOKUP($B305,'Privacy Analyst Evaluation'!$A$46:$F$120,2,0),""))&amp;""</f>
        <v/>
      </c>
      <c r="D305" s="209" t="str">
        <f>IFERROR(VLOOKUP($B305,'Institution Evaluation'!$A$55:$F$345,3,0),IFERROR(VLOOKUP($B305,'Privacy Analyst Evaluation'!$A$46:$F$120,3,0),""))&amp;""</f>
        <v/>
      </c>
      <c r="E305" s="209" t="str">
        <f>IFERROR(VLOOKUP($B305,'Institution Evaluation'!$A$55:$F$345,4,0),IFERROR(VLOOKUP($B305,'Privacy Analyst Evaluation'!$A$46:$F$120,4,0),""))&amp;""</f>
        <v/>
      </c>
      <c r="F305" s="209" t="str">
        <f>IFERROR(VLOOKUP($B305,'Institution Evaluation'!$A$55:$F$345,6,0),IFERROR(VLOOKUP($B305,'Privacy Analyst Evaluation'!$A$46:$F$120,6,0),""))&amp;""</f>
        <v/>
      </c>
      <c r="G305" s="210"/>
      <c r="H305" s="209" t="str">
        <f>IFERROR(IF($H304+1&gt;'(backend scoring)'!$Q$335,"",$H304+1),"")</f>
        <v/>
      </c>
      <c r="I305" s="209" t="str">
        <f>_xlfn.XLOOKUP($H305,'(backend scoring)'!$S$2:$S$333,'(backend scoring)'!$A$2:$A$333,"")</f>
        <v/>
      </c>
      <c r="J305" s="209" t="str">
        <f>IFERROR(VLOOKUP($I305,'Institution Evaluation'!$A$55:$F$345,2,0),IFERROR(VLOOKUP($I305,'Privacy Analyst Evaluation'!$A$46:$F$120,2,0),""))</f>
        <v/>
      </c>
      <c r="K305" s="209" t="str">
        <f>IFERROR(VLOOKUP($I305,'Institution Evaluation'!$A$55:$F$345,3,0),IFERROR(VLOOKUP($I305,'Privacy Analyst Evaluation'!$A$46:$F$120,3,0),""))&amp;""</f>
        <v/>
      </c>
      <c r="L305" s="209" t="str">
        <f>IFERROR(VLOOKUP($I305,'Institution Evaluation'!$A$55:$F$345,4,0),IFERROR(VLOOKUP($I305,'Privacy Analyst Evaluation'!$A$46:$F$120,4,0),""))&amp;""</f>
        <v/>
      </c>
      <c r="M305" s="209" t="str">
        <f>IFERROR(VLOOKUP($I305,'Institution Evaluation'!$A$55:$F$345,6,0),IFERROR(VLOOKUP($I305,'Privacy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2">
      <c r="A306" s="209" t="str">
        <f>IFERROR(IF($A305+1&gt;'(backend scoring)'!$T$335,"",$A305+1),"")</f>
        <v/>
      </c>
      <c r="B306" s="209" t="str">
        <f>_xlfn.XLOOKUP($A306,'(backend scoring)'!$V$2:$V$333,'(backend scoring)'!$A$2:$A$333,"")</f>
        <v/>
      </c>
      <c r="C306" s="209" t="str">
        <f>IFERROR(VLOOKUP($B306,'Institution Evaluation'!$A$55:$F$345,2,0),IFERROR(VLOOKUP($B306,'Privacy Analyst Evaluation'!$A$46:$F$120,2,0),""))&amp;""</f>
        <v/>
      </c>
      <c r="D306" s="209" t="str">
        <f>IFERROR(VLOOKUP($B306,'Institution Evaluation'!$A$55:$F$345,3,0),IFERROR(VLOOKUP($B306,'Privacy Analyst Evaluation'!$A$46:$F$120,3,0),""))&amp;""</f>
        <v/>
      </c>
      <c r="E306" s="209" t="str">
        <f>IFERROR(VLOOKUP($B306,'Institution Evaluation'!$A$55:$F$345,4,0),IFERROR(VLOOKUP($B306,'Privacy Analyst Evaluation'!$A$46:$F$120,4,0),""))&amp;""</f>
        <v/>
      </c>
      <c r="F306" s="209" t="str">
        <f>IFERROR(VLOOKUP($B306,'Institution Evaluation'!$A$55:$F$345,6,0),IFERROR(VLOOKUP($B306,'Privacy Analyst Evaluation'!$A$46:$F$120,6,0),""))&amp;""</f>
        <v/>
      </c>
      <c r="G306" s="210"/>
      <c r="H306" s="209" t="str">
        <f>IFERROR(IF($H305+1&gt;'(backend scoring)'!$Q$335,"",$H305+1),"")</f>
        <v/>
      </c>
      <c r="I306" s="209" t="str">
        <f>_xlfn.XLOOKUP($H306,'(backend scoring)'!$S$2:$S$333,'(backend scoring)'!$A$2:$A$333,"")</f>
        <v/>
      </c>
      <c r="J306" s="209" t="str">
        <f>IFERROR(VLOOKUP($I306,'Institution Evaluation'!$A$55:$F$345,2,0),IFERROR(VLOOKUP($I306,'Privacy Analyst Evaluation'!$A$46:$F$120,2,0),""))</f>
        <v/>
      </c>
      <c r="K306" s="209" t="str">
        <f>IFERROR(VLOOKUP($I306,'Institution Evaluation'!$A$55:$F$345,3,0),IFERROR(VLOOKUP($I306,'Privacy Analyst Evaluation'!$A$46:$F$120,3,0),""))&amp;""</f>
        <v/>
      </c>
      <c r="L306" s="209" t="str">
        <f>IFERROR(VLOOKUP($I306,'Institution Evaluation'!$A$55:$F$345,4,0),IFERROR(VLOOKUP($I306,'Privacy Analyst Evaluation'!$A$46:$F$120,4,0),""))&amp;""</f>
        <v/>
      </c>
      <c r="M306" s="209" t="str">
        <f>IFERROR(VLOOKUP($I306,'Institution Evaluation'!$A$55:$F$345,6,0),IFERROR(VLOOKUP($I306,'Privacy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2">
      <c r="A307" s="209" t="str">
        <f>IFERROR(IF($A306+1&gt;'(backend scoring)'!$T$335,"",$A306+1),"")</f>
        <v/>
      </c>
      <c r="B307" s="209" t="str">
        <f>_xlfn.XLOOKUP($A307,'(backend scoring)'!$V$2:$V$333,'(backend scoring)'!$A$2:$A$333,"")</f>
        <v/>
      </c>
      <c r="C307" s="209" t="str">
        <f>IFERROR(VLOOKUP($B307,'Institution Evaluation'!$A$55:$F$345,2,0),IFERROR(VLOOKUP($B307,'Privacy Analyst Evaluation'!$A$46:$F$120,2,0),""))&amp;""</f>
        <v/>
      </c>
      <c r="D307" s="209" t="str">
        <f>IFERROR(VLOOKUP($B307,'Institution Evaluation'!$A$55:$F$345,3,0),IFERROR(VLOOKUP($B307,'Privacy Analyst Evaluation'!$A$46:$F$120,3,0),""))&amp;""</f>
        <v/>
      </c>
      <c r="E307" s="209" t="str">
        <f>IFERROR(VLOOKUP($B307,'Institution Evaluation'!$A$55:$F$345,4,0),IFERROR(VLOOKUP($B307,'Privacy Analyst Evaluation'!$A$46:$F$120,4,0),""))&amp;""</f>
        <v/>
      </c>
      <c r="F307" s="209" t="str">
        <f>IFERROR(VLOOKUP($B307,'Institution Evaluation'!$A$55:$F$345,6,0),IFERROR(VLOOKUP($B307,'Privacy Analyst Evaluation'!$A$46:$F$120,6,0),""))&amp;""</f>
        <v/>
      </c>
      <c r="G307" s="210"/>
      <c r="H307" s="209" t="str">
        <f>IFERROR(IF($H306+1&gt;'(backend scoring)'!$Q$335,"",$H306+1),"")</f>
        <v/>
      </c>
      <c r="I307" s="209" t="str">
        <f>_xlfn.XLOOKUP($H307,'(backend scoring)'!$S$2:$S$333,'(backend scoring)'!$A$2:$A$333,"")</f>
        <v/>
      </c>
      <c r="J307" s="209" t="str">
        <f>IFERROR(VLOOKUP($I307,'Institution Evaluation'!$A$55:$F$345,2,0),IFERROR(VLOOKUP($I307,'Privacy Analyst Evaluation'!$A$46:$F$120,2,0),""))</f>
        <v/>
      </c>
      <c r="K307" s="209" t="str">
        <f>IFERROR(VLOOKUP($I307,'Institution Evaluation'!$A$55:$F$345,3,0),IFERROR(VLOOKUP($I307,'Privacy Analyst Evaluation'!$A$46:$F$120,3,0),""))&amp;""</f>
        <v/>
      </c>
      <c r="L307" s="209" t="str">
        <f>IFERROR(VLOOKUP($I307,'Institution Evaluation'!$A$55:$F$345,4,0),IFERROR(VLOOKUP($I307,'Privacy Analyst Evaluation'!$A$46:$F$120,4,0),""))&amp;""</f>
        <v/>
      </c>
      <c r="M307" s="209" t="str">
        <f>IFERROR(VLOOKUP($I307,'Institution Evaluation'!$A$55:$F$345,6,0),IFERROR(VLOOKUP($I307,'Privacy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2">
      <c r="A308" s="209" t="str">
        <f>IFERROR(IF($A307+1&gt;'(backend scoring)'!$T$335,"",$A307+1),"")</f>
        <v/>
      </c>
      <c r="B308" s="209" t="str">
        <f>_xlfn.XLOOKUP($A308,'(backend scoring)'!$V$2:$V$333,'(backend scoring)'!$A$2:$A$333,"")</f>
        <v/>
      </c>
      <c r="C308" s="209" t="str">
        <f>IFERROR(VLOOKUP($B308,'Institution Evaluation'!$A$55:$F$345,2,0),IFERROR(VLOOKUP($B308,'Privacy Analyst Evaluation'!$A$46:$F$120,2,0),""))&amp;""</f>
        <v/>
      </c>
      <c r="D308" s="209" t="str">
        <f>IFERROR(VLOOKUP($B308,'Institution Evaluation'!$A$55:$F$345,3,0),IFERROR(VLOOKUP($B308,'Privacy Analyst Evaluation'!$A$46:$F$120,3,0),""))&amp;""</f>
        <v/>
      </c>
      <c r="E308" s="209" t="str">
        <f>IFERROR(VLOOKUP($B308,'Institution Evaluation'!$A$55:$F$345,4,0),IFERROR(VLOOKUP($B308,'Privacy Analyst Evaluation'!$A$46:$F$120,4,0),""))&amp;""</f>
        <v/>
      </c>
      <c r="F308" s="209" t="str">
        <f>IFERROR(VLOOKUP($B308,'Institution Evaluation'!$A$55:$F$345,6,0),IFERROR(VLOOKUP($B308,'Privacy Analyst Evaluation'!$A$46:$F$120,6,0),""))&amp;""</f>
        <v/>
      </c>
      <c r="G308" s="210"/>
      <c r="H308" s="209" t="str">
        <f>IFERROR(IF($H307+1&gt;'(backend scoring)'!$Q$335,"",$H307+1),"")</f>
        <v/>
      </c>
      <c r="I308" s="209" t="str">
        <f>_xlfn.XLOOKUP($H308,'(backend scoring)'!$S$2:$S$333,'(backend scoring)'!$A$2:$A$333,"")</f>
        <v/>
      </c>
      <c r="J308" s="209" t="str">
        <f>IFERROR(VLOOKUP($I308,'Institution Evaluation'!$A$55:$F$345,2,0),IFERROR(VLOOKUP($I308,'Privacy Analyst Evaluation'!$A$46:$F$120,2,0),""))</f>
        <v/>
      </c>
      <c r="K308" s="209" t="str">
        <f>IFERROR(VLOOKUP($I308,'Institution Evaluation'!$A$55:$F$345,3,0),IFERROR(VLOOKUP($I308,'Privacy Analyst Evaluation'!$A$46:$F$120,3,0),""))&amp;""</f>
        <v/>
      </c>
      <c r="L308" s="209" t="str">
        <f>IFERROR(VLOOKUP($I308,'Institution Evaluation'!$A$55:$F$345,4,0),IFERROR(VLOOKUP($I308,'Privacy Analyst Evaluation'!$A$46:$F$120,4,0),""))&amp;""</f>
        <v/>
      </c>
      <c r="M308" s="209" t="str">
        <f>IFERROR(VLOOKUP($I308,'Institution Evaluation'!$A$55:$F$345,6,0),IFERROR(VLOOKUP($I308,'Privacy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2">
      <c r="A309" s="209" t="str">
        <f>IFERROR(IF($A308+1&gt;'(backend scoring)'!$T$335,"",$A308+1),"")</f>
        <v/>
      </c>
      <c r="B309" s="209" t="str">
        <f>_xlfn.XLOOKUP($A309,'(backend scoring)'!$V$2:$V$333,'(backend scoring)'!$A$2:$A$333,"")</f>
        <v/>
      </c>
      <c r="C309" s="209" t="str">
        <f>IFERROR(VLOOKUP($B309,'Institution Evaluation'!$A$55:$F$345,2,0),IFERROR(VLOOKUP($B309,'Privacy Analyst Evaluation'!$A$46:$F$120,2,0),""))&amp;""</f>
        <v/>
      </c>
      <c r="D309" s="209" t="str">
        <f>IFERROR(VLOOKUP($B309,'Institution Evaluation'!$A$55:$F$345,3,0),IFERROR(VLOOKUP($B309,'Privacy Analyst Evaluation'!$A$46:$F$120,3,0),""))&amp;""</f>
        <v/>
      </c>
      <c r="E309" s="209" t="str">
        <f>IFERROR(VLOOKUP($B309,'Institution Evaluation'!$A$55:$F$345,4,0),IFERROR(VLOOKUP($B309,'Privacy Analyst Evaluation'!$A$46:$F$120,4,0),""))&amp;""</f>
        <v/>
      </c>
      <c r="F309" s="209" t="str">
        <f>IFERROR(VLOOKUP($B309,'Institution Evaluation'!$A$55:$F$345,6,0),IFERROR(VLOOKUP($B309,'Privacy Analyst Evaluation'!$A$46:$F$120,6,0),""))&amp;""</f>
        <v/>
      </c>
      <c r="G309" s="210"/>
      <c r="H309" s="209" t="str">
        <f>IFERROR(IF($H308+1&gt;'(backend scoring)'!$Q$335,"",$H308+1),"")</f>
        <v/>
      </c>
      <c r="I309" s="209" t="str">
        <f>_xlfn.XLOOKUP($H309,'(backend scoring)'!$S$2:$S$333,'(backend scoring)'!$A$2:$A$333,"")</f>
        <v/>
      </c>
      <c r="J309" s="209" t="str">
        <f>IFERROR(VLOOKUP($I309,'Institution Evaluation'!$A$55:$F$345,2,0),IFERROR(VLOOKUP($I309,'Privacy Analyst Evaluation'!$A$46:$F$120,2,0),""))</f>
        <v/>
      </c>
      <c r="K309" s="209" t="str">
        <f>IFERROR(VLOOKUP($I309,'Institution Evaluation'!$A$55:$F$345,3,0),IFERROR(VLOOKUP($I309,'Privacy Analyst Evaluation'!$A$46:$F$120,3,0),""))&amp;""</f>
        <v/>
      </c>
      <c r="L309" s="209" t="str">
        <f>IFERROR(VLOOKUP($I309,'Institution Evaluation'!$A$55:$F$345,4,0),IFERROR(VLOOKUP($I309,'Privacy Analyst Evaluation'!$A$46:$F$120,4,0),""))&amp;""</f>
        <v/>
      </c>
      <c r="M309" s="209" t="str">
        <f>IFERROR(VLOOKUP($I309,'Institution Evaluation'!$A$55:$F$345,6,0),IFERROR(VLOOKUP($I309,'Privacy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2">
      <c r="A310" s="209" t="str">
        <f>IFERROR(IF($A309+1&gt;'(backend scoring)'!$T$335,"",$A309+1),"")</f>
        <v/>
      </c>
      <c r="B310" s="209" t="str">
        <f>_xlfn.XLOOKUP($A310,'(backend scoring)'!$V$2:$V$333,'(backend scoring)'!$A$2:$A$333,"")</f>
        <v/>
      </c>
      <c r="C310" s="209" t="str">
        <f>IFERROR(VLOOKUP($B310,'Institution Evaluation'!$A$55:$F$345,2,0),IFERROR(VLOOKUP($B310,'Privacy Analyst Evaluation'!$A$46:$F$120,2,0),""))&amp;""</f>
        <v/>
      </c>
      <c r="D310" s="209" t="str">
        <f>IFERROR(VLOOKUP($B310,'Institution Evaluation'!$A$55:$F$345,3,0),IFERROR(VLOOKUP($B310,'Privacy Analyst Evaluation'!$A$46:$F$120,3,0),""))&amp;""</f>
        <v/>
      </c>
      <c r="E310" s="209" t="str">
        <f>IFERROR(VLOOKUP($B310,'Institution Evaluation'!$A$55:$F$345,4,0),IFERROR(VLOOKUP($B310,'Privacy Analyst Evaluation'!$A$46:$F$120,4,0),""))&amp;""</f>
        <v/>
      </c>
      <c r="F310" s="209" t="str">
        <f>IFERROR(VLOOKUP($B310,'Institution Evaluation'!$A$55:$F$345,6,0),IFERROR(VLOOKUP($B310,'Privacy Analyst Evaluation'!$A$46:$F$120,6,0),""))&amp;""</f>
        <v/>
      </c>
      <c r="G310" s="210"/>
      <c r="H310" s="209" t="str">
        <f>IFERROR(IF($H309+1&gt;'(backend scoring)'!$Q$335,"",$H309+1),"")</f>
        <v/>
      </c>
      <c r="I310" s="209" t="str">
        <f>_xlfn.XLOOKUP($H310,'(backend scoring)'!$S$2:$S$333,'(backend scoring)'!$A$2:$A$333,"")</f>
        <v/>
      </c>
      <c r="J310" s="209" t="str">
        <f>IFERROR(VLOOKUP($I310,'Institution Evaluation'!$A$55:$F$345,2,0),IFERROR(VLOOKUP($I310,'Privacy Analyst Evaluation'!$A$46:$F$120,2,0),""))</f>
        <v/>
      </c>
      <c r="K310" s="209" t="str">
        <f>IFERROR(VLOOKUP($I310,'Institution Evaluation'!$A$55:$F$345,3,0),IFERROR(VLOOKUP($I310,'Privacy Analyst Evaluation'!$A$46:$F$120,3,0),""))&amp;""</f>
        <v/>
      </c>
      <c r="L310" s="209" t="str">
        <f>IFERROR(VLOOKUP($I310,'Institution Evaluation'!$A$55:$F$345,4,0),IFERROR(VLOOKUP($I310,'Privacy Analyst Evaluation'!$A$46:$F$120,4,0),""))&amp;""</f>
        <v/>
      </c>
      <c r="M310" s="209" t="str">
        <f>IFERROR(VLOOKUP($I310,'Institution Evaluation'!$A$55:$F$345,6,0),IFERROR(VLOOKUP($I310,'Privacy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2">
      <c r="A311" s="209" t="str">
        <f>IFERROR(IF($A310+1&gt;'(backend scoring)'!$T$335,"",$A310+1),"")</f>
        <v/>
      </c>
      <c r="B311" s="209" t="str">
        <f>_xlfn.XLOOKUP($A311,'(backend scoring)'!$V$2:$V$333,'(backend scoring)'!$A$2:$A$333,"")</f>
        <v/>
      </c>
      <c r="C311" s="209" t="str">
        <f>IFERROR(VLOOKUP($B311,'Institution Evaluation'!$A$55:$F$345,2,0),IFERROR(VLOOKUP($B311,'Privacy Analyst Evaluation'!$A$46:$F$120,2,0),""))&amp;""</f>
        <v/>
      </c>
      <c r="D311" s="209" t="str">
        <f>IFERROR(VLOOKUP($B311,'Institution Evaluation'!$A$55:$F$345,3,0),IFERROR(VLOOKUP($B311,'Privacy Analyst Evaluation'!$A$46:$F$120,3,0),""))&amp;""</f>
        <v/>
      </c>
      <c r="E311" s="209" t="str">
        <f>IFERROR(VLOOKUP($B311,'Institution Evaluation'!$A$55:$F$345,4,0),IFERROR(VLOOKUP($B311,'Privacy Analyst Evaluation'!$A$46:$F$120,4,0),""))&amp;""</f>
        <v/>
      </c>
      <c r="F311" s="209" t="str">
        <f>IFERROR(VLOOKUP($B311,'Institution Evaluation'!$A$55:$F$345,6,0),IFERROR(VLOOKUP($B311,'Privacy Analyst Evaluation'!$A$46:$F$120,6,0),""))&amp;""</f>
        <v/>
      </c>
      <c r="G311" s="210"/>
      <c r="H311" s="209" t="str">
        <f>IFERROR(IF($H310+1&gt;'(backend scoring)'!$Q$335,"",$H310+1),"")</f>
        <v/>
      </c>
      <c r="I311" s="209" t="str">
        <f>_xlfn.XLOOKUP($H311,'(backend scoring)'!$S$2:$S$333,'(backend scoring)'!$A$2:$A$333,"")</f>
        <v/>
      </c>
      <c r="J311" s="209" t="str">
        <f>IFERROR(VLOOKUP($I311,'Institution Evaluation'!$A$55:$F$345,2,0),IFERROR(VLOOKUP($I311,'Privacy Analyst Evaluation'!$A$46:$F$120,2,0),""))</f>
        <v/>
      </c>
      <c r="K311" s="209" t="str">
        <f>IFERROR(VLOOKUP($I311,'Institution Evaluation'!$A$55:$F$345,3,0),IFERROR(VLOOKUP($I311,'Privacy Analyst Evaluation'!$A$46:$F$120,3,0),""))&amp;""</f>
        <v/>
      </c>
      <c r="L311" s="209" t="str">
        <f>IFERROR(VLOOKUP($I311,'Institution Evaluation'!$A$55:$F$345,4,0),IFERROR(VLOOKUP($I311,'Privacy Analyst Evaluation'!$A$46:$F$120,4,0),""))&amp;""</f>
        <v/>
      </c>
      <c r="M311" s="209" t="str">
        <f>IFERROR(VLOOKUP($I311,'Institution Evaluation'!$A$55:$F$345,6,0),IFERROR(VLOOKUP($I311,'Privacy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2">
      <c r="A312" s="209" t="str">
        <f>IFERROR(IF($A311+1&gt;'(backend scoring)'!$T$335,"",$A311+1),"")</f>
        <v/>
      </c>
      <c r="B312" s="209" t="str">
        <f>_xlfn.XLOOKUP($A312,'(backend scoring)'!$V$2:$V$333,'(backend scoring)'!$A$2:$A$333,"")</f>
        <v/>
      </c>
      <c r="C312" s="209" t="str">
        <f>IFERROR(VLOOKUP($B312,'Institution Evaluation'!$A$55:$F$345,2,0),IFERROR(VLOOKUP($B312,'Privacy Analyst Evaluation'!$A$46:$F$120,2,0),""))&amp;""</f>
        <v/>
      </c>
      <c r="D312" s="209" t="str">
        <f>IFERROR(VLOOKUP($B312,'Institution Evaluation'!$A$55:$F$345,3,0),IFERROR(VLOOKUP($B312,'Privacy Analyst Evaluation'!$A$46:$F$120,3,0),""))&amp;""</f>
        <v/>
      </c>
      <c r="E312" s="209" t="str">
        <f>IFERROR(VLOOKUP($B312,'Institution Evaluation'!$A$55:$F$345,4,0),IFERROR(VLOOKUP($B312,'Privacy Analyst Evaluation'!$A$46:$F$120,4,0),""))&amp;""</f>
        <v/>
      </c>
      <c r="F312" s="209" t="str">
        <f>IFERROR(VLOOKUP($B312,'Institution Evaluation'!$A$55:$F$345,6,0),IFERROR(VLOOKUP($B312,'Privacy Analyst Evaluation'!$A$46:$F$120,6,0),""))&amp;""</f>
        <v/>
      </c>
      <c r="G312" s="210"/>
      <c r="H312" s="209" t="str">
        <f>IFERROR(IF($H311+1&gt;'(backend scoring)'!$Q$335,"",$H311+1),"")</f>
        <v/>
      </c>
      <c r="I312" s="209" t="str">
        <f>_xlfn.XLOOKUP($H312,'(backend scoring)'!$S$2:$S$333,'(backend scoring)'!$A$2:$A$333,"")</f>
        <v/>
      </c>
      <c r="J312" s="209" t="str">
        <f>IFERROR(VLOOKUP($I312,'Institution Evaluation'!$A$55:$F$345,2,0),IFERROR(VLOOKUP($I312,'Privacy Analyst Evaluation'!$A$46:$F$120,2,0),""))</f>
        <v/>
      </c>
      <c r="K312" s="209" t="str">
        <f>IFERROR(VLOOKUP($I312,'Institution Evaluation'!$A$55:$F$345,3,0),IFERROR(VLOOKUP($I312,'Privacy Analyst Evaluation'!$A$46:$F$120,3,0),""))&amp;""</f>
        <v/>
      </c>
      <c r="L312" s="209" t="str">
        <f>IFERROR(VLOOKUP($I312,'Institution Evaluation'!$A$55:$F$345,4,0),IFERROR(VLOOKUP($I312,'Privacy Analyst Evaluation'!$A$46:$F$120,4,0),""))&amp;""</f>
        <v/>
      </c>
      <c r="M312" s="209" t="str">
        <f>IFERROR(VLOOKUP($I312,'Institution Evaluation'!$A$55:$F$345,6,0),IFERROR(VLOOKUP($I312,'Privacy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2">
      <c r="A313" s="209" t="str">
        <f>IFERROR(IF($A312+1&gt;'(backend scoring)'!$T$335,"",$A312+1),"")</f>
        <v/>
      </c>
      <c r="B313" s="209" t="str">
        <f>_xlfn.XLOOKUP($A313,'(backend scoring)'!$V$2:$V$333,'(backend scoring)'!$A$2:$A$333,"")</f>
        <v/>
      </c>
      <c r="C313" s="209" t="str">
        <f>IFERROR(VLOOKUP($B313,'Institution Evaluation'!$A$55:$F$345,2,0),IFERROR(VLOOKUP($B313,'Privacy Analyst Evaluation'!$A$46:$F$120,2,0),""))&amp;""</f>
        <v/>
      </c>
      <c r="D313" s="209" t="str">
        <f>IFERROR(VLOOKUP($B313,'Institution Evaluation'!$A$55:$F$345,3,0),IFERROR(VLOOKUP($B313,'Privacy Analyst Evaluation'!$A$46:$F$120,3,0),""))&amp;""</f>
        <v/>
      </c>
      <c r="E313" s="209" t="str">
        <f>IFERROR(VLOOKUP($B313,'Institution Evaluation'!$A$55:$F$345,4,0),IFERROR(VLOOKUP($B313,'Privacy Analyst Evaluation'!$A$46:$F$120,4,0),""))&amp;""</f>
        <v/>
      </c>
      <c r="F313" s="209" t="str">
        <f>IFERROR(VLOOKUP($B313,'Institution Evaluation'!$A$55:$F$345,6,0),IFERROR(VLOOKUP($B313,'Privacy Analyst Evaluation'!$A$46:$F$120,6,0),""))&amp;""</f>
        <v/>
      </c>
      <c r="G313" s="210"/>
      <c r="H313" s="209" t="str">
        <f>IFERROR(IF($H312+1&gt;'(backend scoring)'!$Q$335,"",$H312+1),"")</f>
        <v/>
      </c>
      <c r="I313" s="209" t="str">
        <f>_xlfn.XLOOKUP($H313,'(backend scoring)'!$S$2:$S$333,'(backend scoring)'!$A$2:$A$333,"")</f>
        <v/>
      </c>
      <c r="J313" s="209" t="str">
        <f>IFERROR(VLOOKUP($I313,'Institution Evaluation'!$A$55:$F$345,2,0),IFERROR(VLOOKUP($I313,'Privacy Analyst Evaluation'!$A$46:$F$120,2,0),""))</f>
        <v/>
      </c>
      <c r="K313" s="209" t="str">
        <f>IFERROR(VLOOKUP($I313,'Institution Evaluation'!$A$55:$F$345,3,0),IFERROR(VLOOKUP($I313,'Privacy Analyst Evaluation'!$A$46:$F$120,3,0),""))&amp;""</f>
        <v/>
      </c>
      <c r="L313" s="209" t="str">
        <f>IFERROR(VLOOKUP($I313,'Institution Evaluation'!$A$55:$F$345,4,0),IFERROR(VLOOKUP($I313,'Privacy Analyst Evaluation'!$A$46:$F$120,4,0),""))&amp;""</f>
        <v/>
      </c>
      <c r="M313" s="209" t="str">
        <f>IFERROR(VLOOKUP($I313,'Institution Evaluation'!$A$55:$F$345,6,0),IFERROR(VLOOKUP($I313,'Privacy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2">
      <c r="A314" s="209" t="str">
        <f>IFERROR(IF($A313+1&gt;'(backend scoring)'!$T$335,"",$A313+1),"")</f>
        <v/>
      </c>
      <c r="B314" s="209" t="str">
        <f>_xlfn.XLOOKUP($A314,'(backend scoring)'!$V$2:$V$333,'(backend scoring)'!$A$2:$A$333,"")</f>
        <v/>
      </c>
      <c r="C314" s="209" t="str">
        <f>IFERROR(VLOOKUP($B314,'Institution Evaluation'!$A$55:$F$345,2,0),IFERROR(VLOOKUP($B314,'Privacy Analyst Evaluation'!$A$46:$F$120,2,0),""))&amp;""</f>
        <v/>
      </c>
      <c r="D314" s="209" t="str">
        <f>IFERROR(VLOOKUP($B314,'Institution Evaluation'!$A$55:$F$345,3,0),IFERROR(VLOOKUP($B314,'Privacy Analyst Evaluation'!$A$46:$F$120,3,0),""))&amp;""</f>
        <v/>
      </c>
      <c r="E314" s="209" t="str">
        <f>IFERROR(VLOOKUP($B314,'Institution Evaluation'!$A$55:$F$345,4,0),IFERROR(VLOOKUP($B314,'Privacy Analyst Evaluation'!$A$46:$F$120,4,0),""))&amp;""</f>
        <v/>
      </c>
      <c r="F314" s="209" t="str">
        <f>IFERROR(VLOOKUP($B314,'Institution Evaluation'!$A$55:$F$345,6,0),IFERROR(VLOOKUP($B314,'Privacy Analyst Evaluation'!$A$46:$F$120,6,0),""))&amp;""</f>
        <v/>
      </c>
      <c r="G314" s="210"/>
      <c r="H314" s="209" t="str">
        <f>IFERROR(IF($H313+1&gt;'(backend scoring)'!$Q$335,"",$H313+1),"")</f>
        <v/>
      </c>
      <c r="I314" s="209" t="str">
        <f>_xlfn.XLOOKUP($H314,'(backend scoring)'!$S$2:$S$333,'(backend scoring)'!$A$2:$A$333,"")</f>
        <v/>
      </c>
      <c r="J314" s="209" t="str">
        <f>IFERROR(VLOOKUP($I314,'Institution Evaluation'!$A$55:$F$345,2,0),IFERROR(VLOOKUP($I314,'Privacy Analyst Evaluation'!$A$46:$F$120,2,0),""))</f>
        <v/>
      </c>
      <c r="K314" s="209" t="str">
        <f>IFERROR(VLOOKUP($I314,'Institution Evaluation'!$A$55:$F$345,3,0),IFERROR(VLOOKUP($I314,'Privacy Analyst Evaluation'!$A$46:$F$120,3,0),""))&amp;""</f>
        <v/>
      </c>
      <c r="L314" s="209" t="str">
        <f>IFERROR(VLOOKUP($I314,'Institution Evaluation'!$A$55:$F$345,4,0),IFERROR(VLOOKUP($I314,'Privacy Analyst Evaluation'!$A$46:$F$120,4,0),""))&amp;""</f>
        <v/>
      </c>
      <c r="M314" s="209" t="str">
        <f>IFERROR(VLOOKUP($I314,'Institution Evaluation'!$A$55:$F$345,6,0),IFERROR(VLOOKUP($I314,'Privacy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2">
      <c r="A315" s="209" t="str">
        <f>IFERROR(IF($A314+1&gt;'(backend scoring)'!$T$335,"",$A314+1),"")</f>
        <v/>
      </c>
      <c r="B315" s="209" t="str">
        <f>_xlfn.XLOOKUP($A315,'(backend scoring)'!$V$2:$V$333,'(backend scoring)'!$A$2:$A$333,"")</f>
        <v/>
      </c>
      <c r="C315" s="209" t="str">
        <f>IFERROR(VLOOKUP($B315,'Institution Evaluation'!$A$55:$F$345,2,0),IFERROR(VLOOKUP($B315,'Privacy Analyst Evaluation'!$A$46:$F$120,2,0),""))&amp;""</f>
        <v/>
      </c>
      <c r="D315" s="209" t="str">
        <f>IFERROR(VLOOKUP($B315,'Institution Evaluation'!$A$55:$F$345,3,0),IFERROR(VLOOKUP($B315,'Privacy Analyst Evaluation'!$A$46:$F$120,3,0),""))&amp;""</f>
        <v/>
      </c>
      <c r="E315" s="209" t="str">
        <f>IFERROR(VLOOKUP($B315,'Institution Evaluation'!$A$55:$F$345,4,0),IFERROR(VLOOKUP($B315,'Privacy Analyst Evaluation'!$A$46:$F$120,4,0),""))&amp;""</f>
        <v/>
      </c>
      <c r="F315" s="209" t="str">
        <f>IFERROR(VLOOKUP($B315,'Institution Evaluation'!$A$55:$F$345,6,0),IFERROR(VLOOKUP($B315,'Privacy Analyst Evaluation'!$A$46:$F$120,6,0),""))&amp;""</f>
        <v/>
      </c>
      <c r="G315" s="210"/>
      <c r="H315" s="209" t="str">
        <f>IFERROR(IF($H314+1&gt;'(backend scoring)'!$Q$335,"",$H314+1),"")</f>
        <v/>
      </c>
      <c r="I315" s="209" t="str">
        <f>_xlfn.XLOOKUP($H315,'(backend scoring)'!$S$2:$S$333,'(backend scoring)'!$A$2:$A$333,"")</f>
        <v/>
      </c>
      <c r="J315" s="209" t="str">
        <f>IFERROR(VLOOKUP($I315,'Institution Evaluation'!$A$55:$F$345,2,0),IFERROR(VLOOKUP($I315,'Privacy Analyst Evaluation'!$A$46:$F$120,2,0),""))</f>
        <v/>
      </c>
      <c r="K315" s="209" t="str">
        <f>IFERROR(VLOOKUP($I315,'Institution Evaluation'!$A$55:$F$345,3,0),IFERROR(VLOOKUP($I315,'Privacy Analyst Evaluation'!$A$46:$F$120,3,0),""))&amp;""</f>
        <v/>
      </c>
      <c r="L315" s="209" t="str">
        <f>IFERROR(VLOOKUP($I315,'Institution Evaluation'!$A$55:$F$345,4,0),IFERROR(VLOOKUP($I315,'Privacy Analyst Evaluation'!$A$46:$F$120,4,0),""))&amp;""</f>
        <v/>
      </c>
      <c r="M315" s="209" t="str">
        <f>IFERROR(VLOOKUP($I315,'Institution Evaluation'!$A$55:$F$345,6,0),IFERROR(VLOOKUP($I315,'Privacy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2">
      <c r="A316" s="209" t="str">
        <f>IFERROR(IF($A315+1&gt;'(backend scoring)'!$T$335,"",$A315+1),"")</f>
        <v/>
      </c>
      <c r="B316" s="209" t="str">
        <f>_xlfn.XLOOKUP($A316,'(backend scoring)'!$V$2:$V$333,'(backend scoring)'!$A$2:$A$333,"")</f>
        <v/>
      </c>
      <c r="C316" s="209" t="str">
        <f>IFERROR(VLOOKUP($B316,'Institution Evaluation'!$A$55:$F$345,2,0),IFERROR(VLOOKUP($B316,'Privacy Analyst Evaluation'!$A$46:$F$120,2,0),""))&amp;""</f>
        <v/>
      </c>
      <c r="D316" s="209" t="str">
        <f>IFERROR(VLOOKUP($B316,'Institution Evaluation'!$A$55:$F$345,3,0),IFERROR(VLOOKUP($B316,'Privacy Analyst Evaluation'!$A$46:$F$120,3,0),""))&amp;""</f>
        <v/>
      </c>
      <c r="E316" s="209" t="str">
        <f>IFERROR(VLOOKUP($B316,'Institution Evaluation'!$A$55:$F$345,4,0),IFERROR(VLOOKUP($B316,'Privacy Analyst Evaluation'!$A$46:$F$120,4,0),""))&amp;""</f>
        <v/>
      </c>
      <c r="F316" s="209" t="str">
        <f>IFERROR(VLOOKUP($B316,'Institution Evaluation'!$A$55:$F$345,6,0),IFERROR(VLOOKUP($B316,'Privacy Analyst Evaluation'!$A$46:$F$120,6,0),""))&amp;""</f>
        <v/>
      </c>
      <c r="G316" s="210"/>
      <c r="H316" s="209" t="str">
        <f>IFERROR(IF($H315+1&gt;'(backend scoring)'!$Q$335,"",$H315+1),"")</f>
        <v/>
      </c>
      <c r="I316" s="209" t="str">
        <f>_xlfn.XLOOKUP($H316,'(backend scoring)'!$S$2:$S$333,'(backend scoring)'!$A$2:$A$333,"")</f>
        <v/>
      </c>
      <c r="J316" s="209" t="str">
        <f>IFERROR(VLOOKUP($I316,'Institution Evaluation'!$A$55:$F$345,2,0),IFERROR(VLOOKUP($I316,'Privacy Analyst Evaluation'!$A$46:$F$120,2,0),""))</f>
        <v/>
      </c>
      <c r="K316" s="209" t="str">
        <f>IFERROR(VLOOKUP($I316,'Institution Evaluation'!$A$55:$F$345,3,0),IFERROR(VLOOKUP($I316,'Privacy Analyst Evaluation'!$A$46:$F$120,3,0),""))&amp;""</f>
        <v/>
      </c>
      <c r="L316" s="209" t="str">
        <f>IFERROR(VLOOKUP($I316,'Institution Evaluation'!$A$55:$F$345,4,0),IFERROR(VLOOKUP($I316,'Privacy Analyst Evaluation'!$A$46:$F$120,4,0),""))&amp;""</f>
        <v/>
      </c>
      <c r="M316" s="209" t="str">
        <f>IFERROR(VLOOKUP($I316,'Institution Evaluation'!$A$55:$F$345,6,0),IFERROR(VLOOKUP($I316,'Privacy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2">
      <c r="A317" s="209" t="str">
        <f>IFERROR(IF($A316+1&gt;'(backend scoring)'!$T$335,"",$A316+1),"")</f>
        <v/>
      </c>
      <c r="B317" s="209" t="str">
        <f>_xlfn.XLOOKUP($A317,'(backend scoring)'!$V$2:$V$333,'(backend scoring)'!$A$2:$A$333,"")</f>
        <v/>
      </c>
      <c r="C317" s="209" t="str">
        <f>IFERROR(VLOOKUP($B317,'Institution Evaluation'!$A$55:$F$345,2,0),IFERROR(VLOOKUP($B317,'Privacy Analyst Evaluation'!$A$46:$F$120,2,0),""))&amp;""</f>
        <v/>
      </c>
      <c r="D317" s="209" t="str">
        <f>IFERROR(VLOOKUP($B317,'Institution Evaluation'!$A$55:$F$345,3,0),IFERROR(VLOOKUP($B317,'Privacy Analyst Evaluation'!$A$46:$F$120,3,0),""))&amp;""</f>
        <v/>
      </c>
      <c r="E317" s="209" t="str">
        <f>IFERROR(VLOOKUP($B317,'Institution Evaluation'!$A$55:$F$345,4,0),IFERROR(VLOOKUP($B317,'Privacy Analyst Evaluation'!$A$46:$F$120,4,0),""))&amp;""</f>
        <v/>
      </c>
      <c r="F317" s="209" t="str">
        <f>IFERROR(VLOOKUP($B317,'Institution Evaluation'!$A$55:$F$345,6,0),IFERROR(VLOOKUP($B317,'Privacy Analyst Evaluation'!$A$46:$F$120,6,0),""))&amp;""</f>
        <v/>
      </c>
      <c r="G317" s="210"/>
      <c r="H317" s="209" t="str">
        <f>IFERROR(IF($H316+1&gt;'(backend scoring)'!$Q$335,"",$H316+1),"")</f>
        <v/>
      </c>
      <c r="I317" s="209" t="str">
        <f>_xlfn.XLOOKUP($H317,'(backend scoring)'!$S$2:$S$333,'(backend scoring)'!$A$2:$A$333,"")</f>
        <v/>
      </c>
      <c r="J317" s="209" t="str">
        <f>IFERROR(VLOOKUP($I317,'Institution Evaluation'!$A$55:$F$345,2,0),IFERROR(VLOOKUP($I317,'Privacy Analyst Evaluation'!$A$46:$F$120,2,0),""))</f>
        <v/>
      </c>
      <c r="K317" s="209" t="str">
        <f>IFERROR(VLOOKUP($I317,'Institution Evaluation'!$A$55:$F$345,3,0),IFERROR(VLOOKUP($I317,'Privacy Analyst Evaluation'!$A$46:$F$120,3,0),""))&amp;""</f>
        <v/>
      </c>
      <c r="L317" s="209" t="str">
        <f>IFERROR(VLOOKUP($I317,'Institution Evaluation'!$A$55:$F$345,4,0),IFERROR(VLOOKUP($I317,'Privacy Analyst Evaluation'!$A$46:$F$120,4,0),""))&amp;""</f>
        <v/>
      </c>
      <c r="M317" s="209" t="str">
        <f>IFERROR(VLOOKUP($I317,'Institution Evaluation'!$A$55:$F$345,6,0),IFERROR(VLOOKUP($I317,'Privacy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2">
      <c r="A318" s="209" t="str">
        <f>IFERROR(IF($A317+1&gt;'(backend scoring)'!$T$335,"",$A317+1),"")</f>
        <v/>
      </c>
      <c r="B318" s="209" t="str">
        <f>_xlfn.XLOOKUP($A318,'(backend scoring)'!$V$2:$V$333,'(backend scoring)'!$A$2:$A$333,"")</f>
        <v/>
      </c>
      <c r="C318" s="209" t="str">
        <f>IFERROR(VLOOKUP($B318,'Institution Evaluation'!$A$55:$F$345,2,0),IFERROR(VLOOKUP($B318,'Privacy Analyst Evaluation'!$A$46:$F$120,2,0),""))&amp;""</f>
        <v/>
      </c>
      <c r="D318" s="209" t="str">
        <f>IFERROR(VLOOKUP($B318,'Institution Evaluation'!$A$55:$F$345,3,0),IFERROR(VLOOKUP($B318,'Privacy Analyst Evaluation'!$A$46:$F$120,3,0),""))&amp;""</f>
        <v/>
      </c>
      <c r="E318" s="209" t="str">
        <f>IFERROR(VLOOKUP($B318,'Institution Evaluation'!$A$55:$F$345,4,0),IFERROR(VLOOKUP($B318,'Privacy Analyst Evaluation'!$A$46:$F$120,4,0),""))&amp;""</f>
        <v/>
      </c>
      <c r="F318" s="209" t="str">
        <f>IFERROR(VLOOKUP($B318,'Institution Evaluation'!$A$55:$F$345,6,0),IFERROR(VLOOKUP($B318,'Privacy Analyst Evaluation'!$A$46:$F$120,6,0),""))&amp;""</f>
        <v/>
      </c>
      <c r="G318" s="210"/>
      <c r="H318" s="209" t="str">
        <f>IFERROR(IF($H317+1&gt;'(backend scoring)'!$Q$335,"",$H317+1),"")</f>
        <v/>
      </c>
      <c r="I318" s="209" t="str">
        <f>_xlfn.XLOOKUP($H318,'(backend scoring)'!$S$2:$S$333,'(backend scoring)'!$A$2:$A$333,"")</f>
        <v/>
      </c>
      <c r="J318" s="209" t="str">
        <f>IFERROR(VLOOKUP($I318,'Institution Evaluation'!$A$55:$F$345,2,0),IFERROR(VLOOKUP($I318,'Privacy Analyst Evaluation'!$A$46:$F$120,2,0),""))</f>
        <v/>
      </c>
      <c r="K318" s="209" t="str">
        <f>IFERROR(VLOOKUP($I318,'Institution Evaluation'!$A$55:$F$345,3,0),IFERROR(VLOOKUP($I318,'Privacy Analyst Evaluation'!$A$46:$F$120,3,0),""))&amp;""</f>
        <v/>
      </c>
      <c r="L318" s="209" t="str">
        <f>IFERROR(VLOOKUP($I318,'Institution Evaluation'!$A$55:$F$345,4,0),IFERROR(VLOOKUP($I318,'Privacy Analyst Evaluation'!$A$46:$F$120,4,0),""))&amp;""</f>
        <v/>
      </c>
      <c r="M318" s="209" t="str">
        <f>IFERROR(VLOOKUP($I318,'Institution Evaluation'!$A$55:$F$345,6,0),IFERROR(VLOOKUP($I318,'Privacy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2">
      <c r="A319" s="209" t="str">
        <f>IFERROR(IF($A318+1&gt;'(backend scoring)'!$T$335,"",$A318+1),"")</f>
        <v/>
      </c>
      <c r="B319" s="209" t="str">
        <f>_xlfn.XLOOKUP($A319,'(backend scoring)'!$V$2:$V$333,'(backend scoring)'!$A$2:$A$333,"")</f>
        <v/>
      </c>
      <c r="C319" s="209" t="str">
        <f>IFERROR(VLOOKUP($B319,'Institution Evaluation'!$A$55:$F$345,2,0),IFERROR(VLOOKUP($B319,'Privacy Analyst Evaluation'!$A$46:$F$120,2,0),""))&amp;""</f>
        <v/>
      </c>
      <c r="D319" s="209" t="str">
        <f>IFERROR(VLOOKUP($B319,'Institution Evaluation'!$A$55:$F$345,3,0),IFERROR(VLOOKUP($B319,'Privacy Analyst Evaluation'!$A$46:$F$120,3,0),""))&amp;""</f>
        <v/>
      </c>
      <c r="E319" s="209" t="str">
        <f>IFERROR(VLOOKUP($B319,'Institution Evaluation'!$A$55:$F$345,4,0),IFERROR(VLOOKUP($B319,'Privacy Analyst Evaluation'!$A$46:$F$120,4,0),""))&amp;""</f>
        <v/>
      </c>
      <c r="F319" s="209" t="str">
        <f>IFERROR(VLOOKUP($B319,'Institution Evaluation'!$A$55:$F$345,6,0),IFERROR(VLOOKUP($B319,'Privacy Analyst Evaluation'!$A$46:$F$120,6,0),""))&amp;""</f>
        <v/>
      </c>
      <c r="G319" s="210"/>
      <c r="H319" s="209" t="str">
        <f>IFERROR(IF($H318+1&gt;'(backend scoring)'!$Q$335,"",$H318+1),"")</f>
        <v/>
      </c>
      <c r="I319" s="209" t="str">
        <f>_xlfn.XLOOKUP($H319,'(backend scoring)'!$S$2:$S$333,'(backend scoring)'!$A$2:$A$333,"")</f>
        <v/>
      </c>
      <c r="J319" s="209" t="str">
        <f>IFERROR(VLOOKUP($I319,'Institution Evaluation'!$A$55:$F$345,2,0),IFERROR(VLOOKUP($I319,'Privacy Analyst Evaluation'!$A$46:$F$120,2,0),""))</f>
        <v/>
      </c>
      <c r="K319" s="209" t="str">
        <f>IFERROR(VLOOKUP($I319,'Institution Evaluation'!$A$55:$F$345,3,0),IFERROR(VLOOKUP($I319,'Privacy Analyst Evaluation'!$A$46:$F$120,3,0),""))&amp;""</f>
        <v/>
      </c>
      <c r="L319" s="209" t="str">
        <f>IFERROR(VLOOKUP($I319,'Institution Evaluation'!$A$55:$F$345,4,0),IFERROR(VLOOKUP($I319,'Privacy Analyst Evaluation'!$A$46:$F$120,4,0),""))&amp;""</f>
        <v/>
      </c>
      <c r="M319" s="209" t="str">
        <f>IFERROR(VLOOKUP($I319,'Institution Evaluation'!$A$55:$F$345,6,0),IFERROR(VLOOKUP($I319,'Privacy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2">
      <c r="A320" s="209" t="str">
        <f>IFERROR(IF($A319+1&gt;'(backend scoring)'!$T$335,"",$A319+1),"")</f>
        <v/>
      </c>
      <c r="B320" s="209" t="str">
        <f>_xlfn.XLOOKUP($A320,'(backend scoring)'!$V$2:$V$333,'(backend scoring)'!$A$2:$A$333,"")</f>
        <v/>
      </c>
      <c r="C320" s="209" t="str">
        <f>IFERROR(VLOOKUP($B320,'Institution Evaluation'!$A$55:$F$345,2,0),IFERROR(VLOOKUP($B320,'Privacy Analyst Evaluation'!$A$46:$F$120,2,0),""))&amp;""</f>
        <v/>
      </c>
      <c r="D320" s="209" t="str">
        <f>IFERROR(VLOOKUP($B320,'Institution Evaluation'!$A$55:$F$345,3,0),IFERROR(VLOOKUP($B320,'Privacy Analyst Evaluation'!$A$46:$F$120,3,0),""))&amp;""</f>
        <v/>
      </c>
      <c r="E320" s="209" t="str">
        <f>IFERROR(VLOOKUP($B320,'Institution Evaluation'!$A$55:$F$345,4,0),IFERROR(VLOOKUP($B320,'Privacy Analyst Evaluation'!$A$46:$F$120,4,0),""))&amp;""</f>
        <v/>
      </c>
      <c r="F320" s="209" t="str">
        <f>IFERROR(VLOOKUP($B320,'Institution Evaluation'!$A$55:$F$345,6,0),IFERROR(VLOOKUP($B320,'Privacy Analyst Evaluation'!$A$46:$F$120,6,0),""))&amp;""</f>
        <v/>
      </c>
      <c r="G320" s="210"/>
      <c r="H320" s="209" t="str">
        <f>IFERROR(IF($H319+1&gt;'(backend scoring)'!$Q$335,"",$H319+1),"")</f>
        <v/>
      </c>
      <c r="I320" s="209" t="str">
        <f>_xlfn.XLOOKUP($H320,'(backend scoring)'!$S$2:$S$333,'(backend scoring)'!$A$2:$A$333,"")</f>
        <v/>
      </c>
      <c r="J320" s="209" t="str">
        <f>IFERROR(VLOOKUP($I320,'Institution Evaluation'!$A$55:$F$345,2,0),IFERROR(VLOOKUP($I320,'Privacy Analyst Evaluation'!$A$46:$F$120,2,0),""))</f>
        <v/>
      </c>
      <c r="K320" s="209" t="str">
        <f>IFERROR(VLOOKUP($I320,'Institution Evaluation'!$A$55:$F$345,3,0),IFERROR(VLOOKUP($I320,'Privacy Analyst Evaluation'!$A$46:$F$120,3,0),""))&amp;""</f>
        <v/>
      </c>
      <c r="L320" s="209" t="str">
        <f>IFERROR(VLOOKUP($I320,'Institution Evaluation'!$A$55:$F$345,4,0),IFERROR(VLOOKUP($I320,'Privacy Analyst Evaluation'!$A$46:$F$120,4,0),""))&amp;""</f>
        <v/>
      </c>
      <c r="M320" s="209" t="str">
        <f>IFERROR(VLOOKUP($I320,'Institution Evaluation'!$A$55:$F$345,6,0),IFERROR(VLOOKUP($I320,'Privacy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2">
      <c r="A321" s="209" t="str">
        <f>IFERROR(IF($A320+1&gt;'(backend scoring)'!$T$335,"",$A320+1),"")</f>
        <v/>
      </c>
      <c r="B321" s="209" t="str">
        <f>_xlfn.XLOOKUP($A321,'(backend scoring)'!$V$2:$V$333,'(backend scoring)'!$A$2:$A$333,"")</f>
        <v/>
      </c>
      <c r="C321" s="209" t="str">
        <f>IFERROR(VLOOKUP($B321,'Institution Evaluation'!$A$55:$F$345,2,0),IFERROR(VLOOKUP($B321,'Privacy Analyst Evaluation'!$A$46:$F$120,2,0),""))&amp;""</f>
        <v/>
      </c>
      <c r="D321" s="209" t="str">
        <f>IFERROR(VLOOKUP($B321,'Institution Evaluation'!$A$55:$F$345,3,0),IFERROR(VLOOKUP($B321,'Privacy Analyst Evaluation'!$A$46:$F$120,3,0),""))&amp;""</f>
        <v/>
      </c>
      <c r="E321" s="209" t="str">
        <f>IFERROR(VLOOKUP($B321,'Institution Evaluation'!$A$55:$F$345,4,0),IFERROR(VLOOKUP($B321,'Privacy Analyst Evaluation'!$A$46:$F$120,4,0),""))&amp;""</f>
        <v/>
      </c>
      <c r="F321" s="209" t="str">
        <f>IFERROR(VLOOKUP($B321,'Institution Evaluation'!$A$55:$F$345,6,0),IFERROR(VLOOKUP($B321,'Privacy Analyst Evaluation'!$A$46:$F$120,6,0),""))&amp;""</f>
        <v/>
      </c>
      <c r="G321" s="210"/>
      <c r="H321" s="209" t="str">
        <f>IFERROR(IF($H320+1&gt;'(backend scoring)'!$Q$335,"",$H320+1),"")</f>
        <v/>
      </c>
      <c r="I321" s="209" t="str">
        <f>_xlfn.XLOOKUP($H321,'(backend scoring)'!$S$2:$S$333,'(backend scoring)'!$A$2:$A$333,"")</f>
        <v/>
      </c>
      <c r="J321" s="209" t="str">
        <f>IFERROR(VLOOKUP($I321,'Institution Evaluation'!$A$55:$F$345,2,0),IFERROR(VLOOKUP($I321,'Privacy Analyst Evaluation'!$A$46:$F$120,2,0),""))</f>
        <v/>
      </c>
      <c r="K321" s="209" t="str">
        <f>IFERROR(VLOOKUP($I321,'Institution Evaluation'!$A$55:$F$345,3,0),IFERROR(VLOOKUP($I321,'Privacy Analyst Evaluation'!$A$46:$F$120,3,0),""))&amp;""</f>
        <v/>
      </c>
      <c r="L321" s="209" t="str">
        <f>IFERROR(VLOOKUP($I321,'Institution Evaluation'!$A$55:$F$345,4,0),IFERROR(VLOOKUP($I321,'Privacy Analyst Evaluation'!$A$46:$F$120,4,0),""))&amp;""</f>
        <v/>
      </c>
      <c r="M321" s="209" t="str">
        <f>IFERROR(VLOOKUP($I321,'Institution Evaluation'!$A$55:$F$345,6,0),IFERROR(VLOOKUP($I321,'Privacy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2">
      <c r="A322" s="209" t="str">
        <f>IFERROR(IF($A321+1&gt;'(backend scoring)'!$T$335,"",$A321+1),"")</f>
        <v/>
      </c>
      <c r="B322" s="209" t="str">
        <f>_xlfn.XLOOKUP($A322,'(backend scoring)'!$V$2:$V$333,'(backend scoring)'!$A$2:$A$333,"")</f>
        <v/>
      </c>
      <c r="C322" s="209" t="str">
        <f>IFERROR(VLOOKUP($B322,'Institution Evaluation'!$A$55:$F$345,2,0),IFERROR(VLOOKUP($B322,'Privacy Analyst Evaluation'!$A$46:$F$120,2,0),""))&amp;""</f>
        <v/>
      </c>
      <c r="D322" s="209" t="str">
        <f>IFERROR(VLOOKUP($B322,'Institution Evaluation'!$A$55:$F$345,3,0),IFERROR(VLOOKUP($B322,'Privacy Analyst Evaluation'!$A$46:$F$120,3,0),""))&amp;""</f>
        <v/>
      </c>
      <c r="E322" s="209" t="str">
        <f>IFERROR(VLOOKUP($B322,'Institution Evaluation'!$A$55:$F$345,4,0),IFERROR(VLOOKUP($B322,'Privacy Analyst Evaluation'!$A$46:$F$120,4,0),""))&amp;""</f>
        <v/>
      </c>
      <c r="F322" s="209" t="str">
        <f>IFERROR(VLOOKUP($B322,'Institution Evaluation'!$A$55:$F$345,6,0),IFERROR(VLOOKUP($B322,'Privacy Analyst Evaluation'!$A$46:$F$120,6,0),""))&amp;""</f>
        <v/>
      </c>
      <c r="G322" s="210"/>
      <c r="H322" s="209" t="str">
        <f>IFERROR(IF($H321+1&gt;'(backend scoring)'!$Q$335,"",$H321+1),"")</f>
        <v/>
      </c>
      <c r="I322" s="209" t="str">
        <f>_xlfn.XLOOKUP($H322,'(backend scoring)'!$S$2:$S$333,'(backend scoring)'!$A$2:$A$333,"")</f>
        <v/>
      </c>
      <c r="J322" s="209" t="str">
        <f>IFERROR(VLOOKUP($I322,'Institution Evaluation'!$A$55:$F$345,2,0),IFERROR(VLOOKUP($I322,'Privacy Analyst Evaluation'!$A$46:$F$120,2,0),""))</f>
        <v/>
      </c>
      <c r="K322" s="209" t="str">
        <f>IFERROR(VLOOKUP($I322,'Institution Evaluation'!$A$55:$F$345,3,0),IFERROR(VLOOKUP($I322,'Privacy Analyst Evaluation'!$A$46:$F$120,3,0),""))&amp;""</f>
        <v/>
      </c>
      <c r="L322" s="209" t="str">
        <f>IFERROR(VLOOKUP($I322,'Institution Evaluation'!$A$55:$F$345,4,0),IFERROR(VLOOKUP($I322,'Privacy Analyst Evaluation'!$A$46:$F$120,4,0),""))&amp;""</f>
        <v/>
      </c>
      <c r="M322" s="209" t="str">
        <f>IFERROR(VLOOKUP($I322,'Institution Evaluation'!$A$55:$F$345,6,0),IFERROR(VLOOKUP($I322,'Privacy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2">
      <c r="A323" s="209" t="str">
        <f>IFERROR(IF($A322+1&gt;'(backend scoring)'!$T$335,"",$A322+1),"")</f>
        <v/>
      </c>
      <c r="B323" s="209" t="str">
        <f>_xlfn.XLOOKUP($A323,'(backend scoring)'!$V$2:$V$333,'(backend scoring)'!$A$2:$A$333,"")</f>
        <v/>
      </c>
      <c r="C323" s="209" t="str">
        <f>IFERROR(VLOOKUP($B323,'Institution Evaluation'!$A$55:$F$345,2,0),IFERROR(VLOOKUP($B323,'Privacy Analyst Evaluation'!$A$46:$F$120,2,0),""))&amp;""</f>
        <v/>
      </c>
      <c r="D323" s="209" t="str">
        <f>IFERROR(VLOOKUP($B323,'Institution Evaluation'!$A$55:$F$345,3,0),IFERROR(VLOOKUP($B323,'Privacy Analyst Evaluation'!$A$46:$F$120,3,0),""))&amp;""</f>
        <v/>
      </c>
      <c r="E323" s="209" t="str">
        <f>IFERROR(VLOOKUP($B323,'Institution Evaluation'!$A$55:$F$345,4,0),IFERROR(VLOOKUP($B323,'Privacy Analyst Evaluation'!$A$46:$F$120,4,0),""))&amp;""</f>
        <v/>
      </c>
      <c r="F323" s="209" t="str">
        <f>IFERROR(VLOOKUP($B323,'Institution Evaluation'!$A$55:$F$345,6,0),IFERROR(VLOOKUP($B323,'Privacy Analyst Evaluation'!$A$46:$F$120,6,0),""))&amp;""</f>
        <v/>
      </c>
      <c r="G323" s="210"/>
      <c r="H323" s="209" t="str">
        <f>IFERROR(IF($H322+1&gt;'(backend scoring)'!$Q$335,"",$H322+1),"")</f>
        <v/>
      </c>
      <c r="I323" s="209" t="str">
        <f>_xlfn.XLOOKUP($H323,'(backend scoring)'!$S$2:$S$333,'(backend scoring)'!$A$2:$A$333,"")</f>
        <v/>
      </c>
      <c r="J323" s="209" t="str">
        <f>IFERROR(VLOOKUP($I323,'Institution Evaluation'!$A$55:$F$345,2,0),IFERROR(VLOOKUP($I323,'Privacy Analyst Evaluation'!$A$46:$F$120,2,0),""))</f>
        <v/>
      </c>
      <c r="K323" s="209" t="str">
        <f>IFERROR(VLOOKUP($I323,'Institution Evaluation'!$A$55:$F$345,3,0),IFERROR(VLOOKUP($I323,'Privacy Analyst Evaluation'!$A$46:$F$120,3,0),""))&amp;""</f>
        <v/>
      </c>
      <c r="L323" s="209" t="str">
        <f>IFERROR(VLOOKUP($I323,'Institution Evaluation'!$A$55:$F$345,4,0),IFERROR(VLOOKUP($I323,'Privacy Analyst Evaluation'!$A$46:$F$120,4,0),""))&amp;""</f>
        <v/>
      </c>
      <c r="M323" s="209" t="str">
        <f>IFERROR(VLOOKUP($I323,'Institution Evaluation'!$A$55:$F$345,6,0),IFERROR(VLOOKUP($I323,'Privacy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2">
      <c r="A324" s="209" t="str">
        <f>IFERROR(IF($A323+1&gt;'(backend scoring)'!$T$335,"",$A323+1),"")</f>
        <v/>
      </c>
      <c r="B324" s="209" t="str">
        <f>_xlfn.XLOOKUP($A324,'(backend scoring)'!$V$2:$V$333,'(backend scoring)'!$A$2:$A$333,"")</f>
        <v/>
      </c>
      <c r="C324" s="209" t="str">
        <f>IFERROR(VLOOKUP($B324,'Institution Evaluation'!$A$55:$F$345,2,0),IFERROR(VLOOKUP($B324,'Privacy Analyst Evaluation'!$A$46:$F$120,2,0),""))&amp;""</f>
        <v/>
      </c>
      <c r="D324" s="209" t="str">
        <f>IFERROR(VLOOKUP($B324,'Institution Evaluation'!$A$55:$F$345,3,0),IFERROR(VLOOKUP($B324,'Privacy Analyst Evaluation'!$A$46:$F$120,3,0),""))&amp;""</f>
        <v/>
      </c>
      <c r="E324" s="209" t="str">
        <f>IFERROR(VLOOKUP($B324,'Institution Evaluation'!$A$55:$F$345,4,0),IFERROR(VLOOKUP($B324,'Privacy Analyst Evaluation'!$A$46:$F$120,4,0),""))&amp;""</f>
        <v/>
      </c>
      <c r="F324" s="209" t="str">
        <f>IFERROR(VLOOKUP($B324,'Institution Evaluation'!$A$55:$F$345,6,0),IFERROR(VLOOKUP($B324,'Privacy Analyst Evaluation'!$A$46:$F$120,6,0),""))&amp;""</f>
        <v/>
      </c>
      <c r="G324" s="210"/>
      <c r="H324" s="209" t="str">
        <f>IFERROR(IF($H323+1&gt;'(backend scoring)'!$Q$335,"",$H323+1),"")</f>
        <v/>
      </c>
      <c r="I324" s="209" t="str">
        <f>_xlfn.XLOOKUP($H324,'(backend scoring)'!$S$2:$S$333,'(backend scoring)'!$A$2:$A$333,"")</f>
        <v/>
      </c>
      <c r="J324" s="209" t="str">
        <f>IFERROR(VLOOKUP($I324,'Institution Evaluation'!$A$55:$F$345,2,0),IFERROR(VLOOKUP($I324,'Privacy Analyst Evaluation'!$A$46:$F$120,2,0),""))</f>
        <v/>
      </c>
      <c r="K324" s="209" t="str">
        <f>IFERROR(VLOOKUP($I324,'Institution Evaluation'!$A$55:$F$345,3,0),IFERROR(VLOOKUP($I324,'Privacy Analyst Evaluation'!$A$46:$F$120,3,0),""))&amp;""</f>
        <v/>
      </c>
      <c r="L324" s="209" t="str">
        <f>IFERROR(VLOOKUP($I324,'Institution Evaluation'!$A$55:$F$345,4,0),IFERROR(VLOOKUP($I324,'Privacy Analyst Evaluation'!$A$46:$F$120,4,0),""))&amp;""</f>
        <v/>
      </c>
      <c r="M324" s="209" t="str">
        <f>IFERROR(VLOOKUP($I324,'Institution Evaluation'!$A$55:$F$345,6,0),IFERROR(VLOOKUP($I324,'Privacy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2">
      <c r="A325" s="209" t="str">
        <f>IFERROR(IF($A324+1&gt;'(backend scoring)'!$T$335,"",$A324+1),"")</f>
        <v/>
      </c>
      <c r="B325" s="209" t="str">
        <f>_xlfn.XLOOKUP($A325,'(backend scoring)'!$V$2:$V$333,'(backend scoring)'!$A$2:$A$333,"")</f>
        <v/>
      </c>
      <c r="C325" s="209" t="str">
        <f>IFERROR(VLOOKUP($B325,'Institution Evaluation'!$A$55:$F$345,2,0),IFERROR(VLOOKUP($B325,'Privacy Analyst Evaluation'!$A$46:$F$120,2,0),""))&amp;""</f>
        <v/>
      </c>
      <c r="D325" s="209" t="str">
        <f>IFERROR(VLOOKUP($B325,'Institution Evaluation'!$A$55:$F$345,3,0),IFERROR(VLOOKUP($B325,'Privacy Analyst Evaluation'!$A$46:$F$120,3,0),""))&amp;""</f>
        <v/>
      </c>
      <c r="E325" s="209" t="str">
        <f>IFERROR(VLOOKUP($B325,'Institution Evaluation'!$A$55:$F$345,4,0),IFERROR(VLOOKUP($B325,'Privacy Analyst Evaluation'!$A$46:$F$120,4,0),""))&amp;""</f>
        <v/>
      </c>
      <c r="F325" s="209" t="str">
        <f>IFERROR(VLOOKUP($B325,'Institution Evaluation'!$A$55:$F$345,6,0),IFERROR(VLOOKUP($B325,'Privacy Analyst Evaluation'!$A$46:$F$120,6,0),""))&amp;""</f>
        <v/>
      </c>
      <c r="G325" s="210"/>
      <c r="H325" s="209" t="str">
        <f>IFERROR(IF($H324+1&gt;'(backend scoring)'!$Q$335,"",$H324+1),"")</f>
        <v/>
      </c>
      <c r="I325" s="209" t="str">
        <f>_xlfn.XLOOKUP($H325,'(backend scoring)'!$S$2:$S$333,'(backend scoring)'!$A$2:$A$333,"")</f>
        <v/>
      </c>
      <c r="J325" s="209" t="str">
        <f>IFERROR(VLOOKUP($I325,'Institution Evaluation'!$A$55:$F$345,2,0),IFERROR(VLOOKUP($I325,'Privacy Analyst Evaluation'!$A$46:$F$120,2,0),""))</f>
        <v/>
      </c>
      <c r="K325" s="209" t="str">
        <f>IFERROR(VLOOKUP($I325,'Institution Evaluation'!$A$55:$F$345,3,0),IFERROR(VLOOKUP($I325,'Privacy Analyst Evaluation'!$A$46:$F$120,3,0),""))&amp;""</f>
        <v/>
      </c>
      <c r="L325" s="209" t="str">
        <f>IFERROR(VLOOKUP($I325,'Institution Evaluation'!$A$55:$F$345,4,0),IFERROR(VLOOKUP($I325,'Privacy Analyst Evaluation'!$A$46:$F$120,4,0),""))&amp;""</f>
        <v/>
      </c>
      <c r="M325" s="209" t="str">
        <f>IFERROR(VLOOKUP($I325,'Institution Evaluation'!$A$55:$F$345,6,0),IFERROR(VLOOKUP($I325,'Privacy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2">
      <c r="A326" s="209" t="str">
        <f>IFERROR(IF($A325+1&gt;'(backend scoring)'!$T$335,"",$A325+1),"")</f>
        <v/>
      </c>
      <c r="B326" s="209" t="str">
        <f>_xlfn.XLOOKUP($A326,'(backend scoring)'!$V$2:$V$333,'(backend scoring)'!$A$2:$A$333,"")</f>
        <v/>
      </c>
      <c r="C326" s="209" t="str">
        <f>IFERROR(VLOOKUP($B326,'Institution Evaluation'!$A$55:$F$345,2,0),IFERROR(VLOOKUP($B326,'Privacy Analyst Evaluation'!$A$46:$F$120,2,0),""))&amp;""</f>
        <v/>
      </c>
      <c r="D326" s="209" t="str">
        <f>IFERROR(VLOOKUP($B326,'Institution Evaluation'!$A$55:$F$345,3,0),IFERROR(VLOOKUP($B326,'Privacy Analyst Evaluation'!$A$46:$F$120,3,0),""))&amp;""</f>
        <v/>
      </c>
      <c r="E326" s="209" t="str">
        <f>IFERROR(VLOOKUP($B326,'Institution Evaluation'!$A$55:$F$345,4,0),IFERROR(VLOOKUP($B326,'Privacy Analyst Evaluation'!$A$46:$F$120,4,0),""))&amp;""</f>
        <v/>
      </c>
      <c r="F326" s="209" t="str">
        <f>IFERROR(VLOOKUP($B326,'Institution Evaluation'!$A$55:$F$345,6,0),IFERROR(VLOOKUP($B326,'Privacy Analyst Evaluation'!$A$46:$F$120,6,0),""))&amp;""</f>
        <v/>
      </c>
      <c r="G326" s="210"/>
      <c r="H326" s="209" t="str">
        <f>IFERROR(IF($H325+1&gt;'(backend scoring)'!$Q$335,"",$H325+1),"")</f>
        <v/>
      </c>
      <c r="I326" s="209" t="str">
        <f>_xlfn.XLOOKUP($H326,'(backend scoring)'!$S$2:$S$333,'(backend scoring)'!$A$2:$A$333,"")</f>
        <v/>
      </c>
      <c r="J326" s="209" t="str">
        <f>IFERROR(VLOOKUP($I326,'Institution Evaluation'!$A$55:$F$345,2,0),IFERROR(VLOOKUP($I326,'Privacy Analyst Evaluation'!$A$46:$F$120,2,0),""))</f>
        <v/>
      </c>
      <c r="K326" s="209" t="str">
        <f>IFERROR(VLOOKUP($I326,'Institution Evaluation'!$A$55:$F$345,3,0),IFERROR(VLOOKUP($I326,'Privacy Analyst Evaluation'!$A$46:$F$120,3,0),""))&amp;""</f>
        <v/>
      </c>
      <c r="L326" s="209" t="str">
        <f>IFERROR(VLOOKUP($I326,'Institution Evaluation'!$A$55:$F$345,4,0),IFERROR(VLOOKUP($I326,'Privacy Analyst Evaluation'!$A$46:$F$120,4,0),""))&amp;""</f>
        <v/>
      </c>
      <c r="M326" s="209" t="str">
        <f>IFERROR(VLOOKUP($I326,'Institution Evaluation'!$A$55:$F$345,6,0),IFERROR(VLOOKUP($I326,'Privacy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2">
      <c r="A327" s="209" t="str">
        <f>IFERROR(IF($A326+1&gt;'(backend scoring)'!$T$335,"",$A326+1),"")</f>
        <v/>
      </c>
      <c r="B327" s="209" t="str">
        <f>_xlfn.XLOOKUP($A327,'(backend scoring)'!$V$2:$V$333,'(backend scoring)'!$A$2:$A$333,"")</f>
        <v/>
      </c>
      <c r="C327" s="209" t="str">
        <f>IFERROR(VLOOKUP($B327,'Institution Evaluation'!$A$55:$F$345,2,0),IFERROR(VLOOKUP($B327,'Privacy Analyst Evaluation'!$A$46:$F$120,2,0),""))&amp;""</f>
        <v/>
      </c>
      <c r="D327" s="209" t="str">
        <f>IFERROR(VLOOKUP($B327,'Institution Evaluation'!$A$55:$F$345,3,0),IFERROR(VLOOKUP($B327,'Privacy Analyst Evaluation'!$A$46:$F$120,3,0),""))&amp;""</f>
        <v/>
      </c>
      <c r="E327" s="209" t="str">
        <f>IFERROR(VLOOKUP($B327,'Institution Evaluation'!$A$55:$F$345,4,0),IFERROR(VLOOKUP($B327,'Privacy Analyst Evaluation'!$A$46:$F$120,4,0),""))&amp;""</f>
        <v/>
      </c>
      <c r="F327" s="209" t="str">
        <f>IFERROR(VLOOKUP($B327,'Institution Evaluation'!$A$55:$F$345,6,0),IFERROR(VLOOKUP($B327,'Privacy Analyst Evaluation'!$A$46:$F$120,6,0),""))&amp;""</f>
        <v/>
      </c>
      <c r="G327" s="210"/>
      <c r="H327" s="209" t="str">
        <f>IFERROR(IF($H326+1&gt;'(backend scoring)'!$Q$335,"",$H326+1),"")</f>
        <v/>
      </c>
      <c r="I327" s="209" t="str">
        <f>_xlfn.XLOOKUP($H327,'(backend scoring)'!$S$2:$S$333,'(backend scoring)'!$A$2:$A$333,"")</f>
        <v/>
      </c>
      <c r="J327" s="209" t="str">
        <f>IFERROR(VLOOKUP($I327,'Institution Evaluation'!$A$55:$F$345,2,0),IFERROR(VLOOKUP($I327,'Privacy Analyst Evaluation'!$A$46:$F$120,2,0),""))</f>
        <v/>
      </c>
      <c r="K327" s="209" t="str">
        <f>IFERROR(VLOOKUP($I327,'Institution Evaluation'!$A$55:$F$345,3,0),IFERROR(VLOOKUP($I327,'Privacy Analyst Evaluation'!$A$46:$F$120,3,0),""))&amp;""</f>
        <v/>
      </c>
      <c r="L327" s="209" t="str">
        <f>IFERROR(VLOOKUP($I327,'Institution Evaluation'!$A$55:$F$345,4,0),IFERROR(VLOOKUP($I327,'Privacy Analyst Evaluation'!$A$46:$F$120,4,0),""))&amp;""</f>
        <v/>
      </c>
      <c r="M327" s="209" t="str">
        <f>IFERROR(VLOOKUP($I327,'Institution Evaluation'!$A$55:$F$345,6,0),IFERROR(VLOOKUP($I327,'Privacy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2">
      <c r="A328" s="209" t="str">
        <f>IFERROR(IF($A327+1&gt;'(backend scoring)'!$T$335,"",$A327+1),"")</f>
        <v/>
      </c>
      <c r="B328" s="209" t="str">
        <f>_xlfn.XLOOKUP($A328,'(backend scoring)'!$V$2:$V$333,'(backend scoring)'!$A$2:$A$333,"")</f>
        <v/>
      </c>
      <c r="C328" s="209" t="str">
        <f>IFERROR(VLOOKUP($B328,'Institution Evaluation'!$A$55:$F$345,2,0),IFERROR(VLOOKUP($B328,'Privacy Analyst Evaluation'!$A$46:$F$120,2,0),""))&amp;""</f>
        <v/>
      </c>
      <c r="D328" s="209" t="str">
        <f>IFERROR(VLOOKUP($B328,'Institution Evaluation'!$A$55:$F$345,3,0),IFERROR(VLOOKUP($B328,'Privacy Analyst Evaluation'!$A$46:$F$120,3,0),""))&amp;""</f>
        <v/>
      </c>
      <c r="E328" s="209" t="str">
        <f>IFERROR(VLOOKUP($B328,'Institution Evaluation'!$A$55:$F$345,4,0),IFERROR(VLOOKUP($B328,'Privacy Analyst Evaluation'!$A$46:$F$120,4,0),""))&amp;""</f>
        <v/>
      </c>
      <c r="F328" s="209" t="str">
        <f>IFERROR(VLOOKUP($B328,'Institution Evaluation'!$A$55:$F$345,6,0),IFERROR(VLOOKUP($B328,'Privacy Analyst Evaluation'!$A$46:$F$120,6,0),""))&amp;""</f>
        <v/>
      </c>
      <c r="G328" s="210"/>
      <c r="H328" s="209" t="str">
        <f>IFERROR(IF($H327+1&gt;'(backend scoring)'!$Q$335,"",$H327+1),"")</f>
        <v/>
      </c>
      <c r="I328" s="209" t="str">
        <f>_xlfn.XLOOKUP($H328,'(backend scoring)'!$S$2:$S$333,'(backend scoring)'!$A$2:$A$333,"")</f>
        <v/>
      </c>
      <c r="J328" s="209" t="str">
        <f>IFERROR(VLOOKUP($I328,'Institution Evaluation'!$A$55:$F$345,2,0),IFERROR(VLOOKUP($I328,'Privacy Analyst Evaluation'!$A$46:$F$120,2,0),""))</f>
        <v/>
      </c>
      <c r="K328" s="209" t="str">
        <f>IFERROR(VLOOKUP($I328,'Institution Evaluation'!$A$55:$F$345,3,0),IFERROR(VLOOKUP($I328,'Privacy Analyst Evaluation'!$A$46:$F$120,3,0),""))&amp;""</f>
        <v/>
      </c>
      <c r="L328" s="209" t="str">
        <f>IFERROR(VLOOKUP($I328,'Institution Evaluation'!$A$55:$F$345,4,0),IFERROR(VLOOKUP($I328,'Privacy Analyst Evaluation'!$A$46:$F$120,4,0),""))&amp;""</f>
        <v/>
      </c>
      <c r="M328" s="209" t="str">
        <f>IFERROR(VLOOKUP($I328,'Institution Evaluation'!$A$55:$F$345,6,0),IFERROR(VLOOKUP($I328,'Privacy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2">
      <c r="A329" s="209" t="str">
        <f>IFERROR(IF($A328+1&gt;'(backend scoring)'!$T$335,"",$A328+1),"")</f>
        <v/>
      </c>
      <c r="B329" s="209" t="str">
        <f>_xlfn.XLOOKUP($A329,'(backend scoring)'!$V$2:$V$333,'(backend scoring)'!$A$2:$A$333,"")</f>
        <v/>
      </c>
      <c r="C329" s="209" t="str">
        <f>IFERROR(VLOOKUP($B329,'Institution Evaluation'!$A$55:$F$345,2,0),IFERROR(VLOOKUP($B329,'Privacy Analyst Evaluation'!$A$46:$F$120,2,0),""))&amp;""</f>
        <v/>
      </c>
      <c r="D329" s="209" t="str">
        <f>IFERROR(VLOOKUP($B329,'Institution Evaluation'!$A$55:$F$345,3,0),IFERROR(VLOOKUP($B329,'Privacy Analyst Evaluation'!$A$46:$F$120,3,0),""))&amp;""</f>
        <v/>
      </c>
      <c r="E329" s="209" t="str">
        <f>IFERROR(VLOOKUP($B329,'Institution Evaluation'!$A$55:$F$345,4,0),IFERROR(VLOOKUP($B329,'Privacy Analyst Evaluation'!$A$46:$F$120,4,0),""))&amp;""</f>
        <v/>
      </c>
      <c r="F329" s="209" t="str">
        <f>IFERROR(VLOOKUP($B329,'Institution Evaluation'!$A$55:$F$345,6,0),IFERROR(VLOOKUP($B329,'Privacy Analyst Evaluation'!$A$46:$F$120,6,0),""))&amp;""</f>
        <v/>
      </c>
      <c r="G329" s="210"/>
      <c r="H329" s="209" t="str">
        <f>IFERROR(IF($H328+1&gt;'(backend scoring)'!$Q$335,"",$H328+1),"")</f>
        <v/>
      </c>
      <c r="I329" s="209" t="str">
        <f>_xlfn.XLOOKUP($H329,'(backend scoring)'!$S$2:$S$333,'(backend scoring)'!$A$2:$A$333,"")</f>
        <v/>
      </c>
      <c r="J329" s="209" t="str">
        <f>IFERROR(VLOOKUP($I329,'Institution Evaluation'!$A$55:$F$345,2,0),IFERROR(VLOOKUP($I329,'Privacy Analyst Evaluation'!$A$46:$F$120,2,0),""))</f>
        <v/>
      </c>
      <c r="K329" s="209" t="str">
        <f>IFERROR(VLOOKUP($I329,'Institution Evaluation'!$A$55:$F$345,3,0),IFERROR(VLOOKUP($I329,'Privacy Analyst Evaluation'!$A$46:$F$120,3,0),""))&amp;""</f>
        <v/>
      </c>
      <c r="L329" s="209" t="str">
        <f>IFERROR(VLOOKUP($I329,'Institution Evaluation'!$A$55:$F$345,4,0),IFERROR(VLOOKUP($I329,'Privacy Analyst Evaluation'!$A$46:$F$120,4,0),""))&amp;""</f>
        <v/>
      </c>
      <c r="M329" s="209" t="str">
        <f>IFERROR(VLOOKUP($I329,'Institution Evaluation'!$A$55:$F$345,6,0),IFERROR(VLOOKUP($I329,'Privacy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2">
      <c r="A330" s="209" t="str">
        <f>IFERROR(IF($A329+1&gt;'(backend scoring)'!$T$335,"",$A329+1),"")</f>
        <v/>
      </c>
      <c r="B330" s="209" t="str">
        <f>_xlfn.XLOOKUP($A330,'(backend scoring)'!$V$2:$V$333,'(backend scoring)'!$A$2:$A$333,"")</f>
        <v/>
      </c>
      <c r="C330" s="209" t="str">
        <f>IFERROR(VLOOKUP($B330,'Institution Evaluation'!$A$55:$F$345,2,0),IFERROR(VLOOKUP($B330,'Privacy Analyst Evaluation'!$A$46:$F$120,2,0),""))&amp;""</f>
        <v/>
      </c>
      <c r="D330" s="209" t="str">
        <f>IFERROR(VLOOKUP($B330,'Institution Evaluation'!$A$55:$F$345,3,0),IFERROR(VLOOKUP($B330,'Privacy Analyst Evaluation'!$A$46:$F$120,3,0),""))&amp;""</f>
        <v/>
      </c>
      <c r="E330" s="209" t="str">
        <f>IFERROR(VLOOKUP($B330,'Institution Evaluation'!$A$55:$F$345,4,0),IFERROR(VLOOKUP($B330,'Privacy Analyst Evaluation'!$A$46:$F$120,4,0),""))&amp;""</f>
        <v/>
      </c>
      <c r="F330" s="209" t="str">
        <f>IFERROR(VLOOKUP($B330,'Institution Evaluation'!$A$55:$F$345,6,0),IFERROR(VLOOKUP($B330,'Privacy Analyst Evaluation'!$A$46:$F$120,6,0),""))&amp;""</f>
        <v/>
      </c>
      <c r="G330" s="210"/>
      <c r="H330" s="209" t="str">
        <f>IFERROR(IF($H329+1&gt;'(backend scoring)'!$Q$335,"",$H329+1),"")</f>
        <v/>
      </c>
      <c r="I330" s="209" t="str">
        <f>_xlfn.XLOOKUP($H330,'(backend scoring)'!$S$2:$S$333,'(backend scoring)'!$A$2:$A$333,"")</f>
        <v/>
      </c>
      <c r="J330" s="209" t="str">
        <f>IFERROR(VLOOKUP($I330,'Institution Evaluation'!$A$55:$F$345,2,0),IFERROR(VLOOKUP($I330,'Privacy Analyst Evaluation'!$A$46:$F$120,2,0),""))</f>
        <v/>
      </c>
      <c r="K330" s="209" t="str">
        <f>IFERROR(VLOOKUP($I330,'Institution Evaluation'!$A$55:$F$345,3,0),IFERROR(VLOOKUP($I330,'Privacy Analyst Evaluation'!$A$46:$F$120,3,0),""))&amp;""</f>
        <v/>
      </c>
      <c r="L330" s="209" t="str">
        <f>IFERROR(VLOOKUP($I330,'Institution Evaluation'!$A$55:$F$345,4,0),IFERROR(VLOOKUP($I330,'Privacy Analyst Evaluation'!$A$46:$F$120,4,0),""))&amp;""</f>
        <v/>
      </c>
      <c r="M330" s="209" t="str">
        <f>IFERROR(VLOOKUP($I330,'Institution Evaluation'!$A$55:$F$345,6,0),IFERROR(VLOOKUP($I330,'Privacy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2">
      <c r="A331" s="209" t="str">
        <f>IFERROR(IF($A330+1&gt;'(backend scoring)'!$T$335,"",$A330+1),"")</f>
        <v/>
      </c>
      <c r="B331" s="209" t="str">
        <f>_xlfn.XLOOKUP($A331,'(backend scoring)'!$V$2:$V$333,'(backend scoring)'!$A$2:$A$333,"")</f>
        <v/>
      </c>
      <c r="C331" s="209" t="str">
        <f>IFERROR(VLOOKUP($B331,'Institution Evaluation'!$A$55:$F$345,2,0),IFERROR(VLOOKUP($B331,'Privacy Analyst Evaluation'!$A$46:$F$120,2,0),""))&amp;""</f>
        <v/>
      </c>
      <c r="D331" s="209" t="str">
        <f>IFERROR(VLOOKUP($B331,'Institution Evaluation'!$A$55:$F$345,3,0),IFERROR(VLOOKUP($B331,'Privacy Analyst Evaluation'!$A$46:$F$120,3,0),""))&amp;""</f>
        <v/>
      </c>
      <c r="E331" s="209" t="str">
        <f>IFERROR(VLOOKUP($B331,'Institution Evaluation'!$A$55:$F$345,4,0),IFERROR(VLOOKUP($B331,'Privacy Analyst Evaluation'!$A$46:$F$120,4,0),""))&amp;""</f>
        <v/>
      </c>
      <c r="F331" s="209" t="str">
        <f>IFERROR(VLOOKUP($B331,'Institution Evaluation'!$A$55:$F$345,6,0),IFERROR(VLOOKUP($B331,'Privacy Analyst Evaluation'!$A$46:$F$120,6,0),""))&amp;""</f>
        <v/>
      </c>
      <c r="G331" s="210"/>
      <c r="H331" s="209" t="str">
        <f>IFERROR(IF($H330+1&gt;'(backend scoring)'!$Q$335,"",$H330+1),"")</f>
        <v/>
      </c>
      <c r="I331" s="209" t="str">
        <f>_xlfn.XLOOKUP($H331,'(backend scoring)'!$S$2:$S$333,'(backend scoring)'!$A$2:$A$333,"")</f>
        <v/>
      </c>
      <c r="J331" s="209" t="str">
        <f>IFERROR(VLOOKUP($I331,'Institution Evaluation'!$A$55:$F$345,2,0),IFERROR(VLOOKUP($I331,'Privacy Analyst Evaluation'!$A$46:$F$120,2,0),""))</f>
        <v/>
      </c>
      <c r="K331" s="209" t="str">
        <f>IFERROR(VLOOKUP($I331,'Institution Evaluation'!$A$55:$F$345,3,0),IFERROR(VLOOKUP($I331,'Privacy Analyst Evaluation'!$A$46:$F$120,3,0),""))&amp;""</f>
        <v/>
      </c>
      <c r="L331" s="209" t="str">
        <f>IFERROR(VLOOKUP($I331,'Institution Evaluation'!$A$55:$F$345,4,0),IFERROR(VLOOKUP($I331,'Privacy Analyst Evaluation'!$A$46:$F$120,4,0),""))&amp;""</f>
        <v/>
      </c>
      <c r="M331" s="209" t="str">
        <f>IFERROR(VLOOKUP($I331,'Institution Evaluation'!$A$55:$F$345,6,0),IFERROR(VLOOKUP($I331,'Privacy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2">
      <c r="A332" s="209" t="str">
        <f>IFERROR(IF($A331+1&gt;'(backend scoring)'!$T$335,"",$A331+1),"")</f>
        <v/>
      </c>
      <c r="B332" s="209" t="str">
        <f>_xlfn.XLOOKUP($A332,'(backend scoring)'!$V$2:$V$333,'(backend scoring)'!$A$2:$A$333,"")</f>
        <v/>
      </c>
      <c r="C332" s="209" t="str">
        <f>IFERROR(VLOOKUP($B332,'Institution Evaluation'!$A$55:$F$345,2,0),IFERROR(VLOOKUP($B332,'Privacy Analyst Evaluation'!$A$46:$F$120,2,0),""))&amp;""</f>
        <v/>
      </c>
      <c r="D332" s="209" t="str">
        <f>IFERROR(VLOOKUP($B332,'Institution Evaluation'!$A$55:$F$345,3,0),IFERROR(VLOOKUP($B332,'Privacy Analyst Evaluation'!$A$46:$F$120,3,0),""))&amp;""</f>
        <v/>
      </c>
      <c r="E332" s="209" t="str">
        <f>IFERROR(VLOOKUP($B332,'Institution Evaluation'!$A$55:$F$345,4,0),IFERROR(VLOOKUP($B332,'Privacy Analyst Evaluation'!$A$46:$F$120,4,0),""))&amp;""</f>
        <v/>
      </c>
      <c r="F332" s="209" t="str">
        <f>IFERROR(VLOOKUP($B332,'Institution Evaluation'!$A$55:$F$345,6,0),IFERROR(VLOOKUP($B332,'Privacy Analyst Evaluation'!$A$46:$F$120,6,0),""))&amp;""</f>
        <v/>
      </c>
      <c r="G332" s="210"/>
      <c r="H332" s="209" t="str">
        <f>IFERROR(IF($H331+1&gt;'(backend scoring)'!$Q$335,"",$H331+1),"")</f>
        <v/>
      </c>
      <c r="I332" s="209" t="str">
        <f>_xlfn.XLOOKUP($H332,'(backend scoring)'!$S$2:$S$333,'(backend scoring)'!$A$2:$A$333,"")</f>
        <v/>
      </c>
      <c r="J332" s="209" t="str">
        <f>IFERROR(VLOOKUP($I332,'Institution Evaluation'!$A$55:$F$345,2,0),IFERROR(VLOOKUP($I332,'Privacy Analyst Evaluation'!$A$46:$F$120,2,0),""))</f>
        <v/>
      </c>
      <c r="K332" s="209" t="str">
        <f>IFERROR(VLOOKUP($I332,'Institution Evaluation'!$A$55:$F$345,3,0),IFERROR(VLOOKUP($I332,'Privacy Analyst Evaluation'!$A$46:$F$120,3,0),""))&amp;""</f>
        <v/>
      </c>
      <c r="L332" s="209" t="str">
        <f>IFERROR(VLOOKUP($I332,'Institution Evaluation'!$A$55:$F$345,4,0),IFERROR(VLOOKUP($I332,'Privacy Analyst Evaluation'!$A$46:$F$120,4,0),""))&amp;""</f>
        <v/>
      </c>
      <c r="M332" s="209" t="str">
        <f>IFERROR(VLOOKUP($I332,'Institution Evaluation'!$A$55:$F$345,6,0),IFERROR(VLOOKUP($I332,'Privacy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2">
      <c r="A333" s="209" t="str">
        <f>IFERROR(IF($A332+1&gt;'(backend scoring)'!$T$335,"",$A332+1),"")</f>
        <v/>
      </c>
      <c r="B333" s="209" t="str">
        <f>_xlfn.XLOOKUP($A333,'(backend scoring)'!$V$2:$V$333,'(backend scoring)'!$A$2:$A$333,"")</f>
        <v/>
      </c>
      <c r="C333" s="209" t="str">
        <f>IFERROR(VLOOKUP($B333,'Institution Evaluation'!$A$55:$F$345,2,0),IFERROR(VLOOKUP($B333,'Privacy Analyst Evaluation'!$A$46:$F$120,2,0),""))&amp;""</f>
        <v/>
      </c>
      <c r="D333" s="209" t="str">
        <f>IFERROR(VLOOKUP($B333,'Institution Evaluation'!$A$55:$F$345,3,0),IFERROR(VLOOKUP($B333,'Privacy Analyst Evaluation'!$A$46:$F$120,3,0),""))&amp;""</f>
        <v/>
      </c>
      <c r="E333" s="209" t="str">
        <f>IFERROR(VLOOKUP($B333,'Institution Evaluation'!$A$55:$F$345,4,0),IFERROR(VLOOKUP($B333,'Privacy Analyst Evaluation'!$A$46:$F$120,4,0),""))&amp;""</f>
        <v/>
      </c>
      <c r="F333" s="209" t="str">
        <f>IFERROR(VLOOKUP($B333,'Institution Evaluation'!$A$55:$F$345,6,0),IFERROR(VLOOKUP($B333,'Privacy Analyst Evaluation'!$A$46:$F$120,6,0),""))&amp;""</f>
        <v/>
      </c>
      <c r="G333" s="210"/>
      <c r="H333" s="209" t="str">
        <f>IFERROR(IF($H332+1&gt;'(backend scoring)'!$Q$335,"",$H332+1),"")</f>
        <v/>
      </c>
      <c r="I333" s="209" t="str">
        <f>_xlfn.XLOOKUP($H333,'(backend scoring)'!$S$2:$S$333,'(backend scoring)'!$A$2:$A$333,"")</f>
        <v/>
      </c>
      <c r="J333" s="209" t="str">
        <f>IFERROR(VLOOKUP($I333,'Institution Evaluation'!$A$55:$F$345,2,0),IFERROR(VLOOKUP($I333,'Privacy Analyst Evaluation'!$A$46:$F$120,2,0),""))</f>
        <v/>
      </c>
      <c r="K333" s="209" t="str">
        <f>IFERROR(VLOOKUP($I333,'Institution Evaluation'!$A$55:$F$345,3,0),IFERROR(VLOOKUP($I333,'Privacy Analyst Evaluation'!$A$46:$F$120,3,0),""))&amp;""</f>
        <v/>
      </c>
      <c r="L333" s="209" t="str">
        <f>IFERROR(VLOOKUP($I333,'Institution Evaluation'!$A$55:$F$345,4,0),IFERROR(VLOOKUP($I333,'Privacy Analyst Evaluation'!$A$46:$F$120,4,0),""))&amp;""</f>
        <v/>
      </c>
      <c r="M333" s="209" t="str">
        <f>IFERROR(VLOOKUP($I333,'Institution Evaluation'!$A$55:$F$345,6,0),IFERROR(VLOOKUP($I333,'Privacy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2">
      <c r="A334" s="209" t="str">
        <f>IFERROR(IF($A333+1&gt;'(backend scoring)'!$T$335,"",$A333+1),"")</f>
        <v/>
      </c>
      <c r="B334" s="209" t="str">
        <f>_xlfn.XLOOKUP($A334,'(backend scoring)'!$V$2:$V$333,'(backend scoring)'!$A$2:$A$333,"")</f>
        <v/>
      </c>
      <c r="C334" s="209" t="str">
        <f>IFERROR(VLOOKUP($B334,'Institution Evaluation'!$A$55:$F$345,2,0),IFERROR(VLOOKUP($B334,'Privacy Analyst Evaluation'!$A$46:$F$120,2,0),""))&amp;""</f>
        <v/>
      </c>
      <c r="D334" s="209" t="str">
        <f>IFERROR(VLOOKUP($B334,'Institution Evaluation'!$A$55:$F$345,3,0),IFERROR(VLOOKUP($B334,'Privacy Analyst Evaluation'!$A$46:$F$120,3,0),""))&amp;""</f>
        <v/>
      </c>
      <c r="E334" s="209" t="str">
        <f>IFERROR(VLOOKUP($B334,'Institution Evaluation'!$A$55:$F$345,4,0),IFERROR(VLOOKUP($B334,'Privacy Analyst Evaluation'!$A$46:$F$120,4,0),""))&amp;""</f>
        <v/>
      </c>
      <c r="F334" s="209" t="str">
        <f>IFERROR(VLOOKUP($B334,'Institution Evaluation'!$A$55:$F$345,6,0),IFERROR(VLOOKUP($B334,'Privacy Analyst Evaluation'!$A$46:$F$120,6,0),""))&amp;""</f>
        <v/>
      </c>
      <c r="G334" s="210"/>
      <c r="H334" s="209" t="str">
        <f>IFERROR(IF($H333+1&gt;'(backend scoring)'!$Q$335,"",$H333+1),"")</f>
        <v/>
      </c>
      <c r="I334" s="209" t="str">
        <f>_xlfn.XLOOKUP($H334,'(backend scoring)'!$S$2:$S$333,'(backend scoring)'!$A$2:$A$333,"")</f>
        <v/>
      </c>
      <c r="J334" s="209" t="str">
        <f>IFERROR(VLOOKUP($I334,'Institution Evaluation'!$A$55:$F$345,2,0),IFERROR(VLOOKUP($I334,'Privacy Analyst Evaluation'!$A$46:$F$120,2,0),""))</f>
        <v/>
      </c>
      <c r="K334" s="209" t="str">
        <f>IFERROR(VLOOKUP($I334,'Institution Evaluation'!$A$55:$F$345,3,0),IFERROR(VLOOKUP($I334,'Privacy Analyst Evaluation'!$A$46:$F$120,3,0),""))&amp;""</f>
        <v/>
      </c>
      <c r="L334" s="209" t="str">
        <f>IFERROR(VLOOKUP($I334,'Institution Evaluation'!$A$55:$F$345,4,0),IFERROR(VLOOKUP($I334,'Privacy Analyst Evaluation'!$A$46:$F$120,4,0),""))&amp;""</f>
        <v/>
      </c>
      <c r="M334" s="209" t="str">
        <f>IFERROR(VLOOKUP($I334,'Institution Evaluation'!$A$55:$F$345,6,0),IFERROR(VLOOKUP($I334,'Privacy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2">
      <c r="A335" s="209" t="str">
        <f>IFERROR(IF($A334+1&gt;'(backend scoring)'!$T$335,"",$A334+1),"")</f>
        <v/>
      </c>
      <c r="B335" s="209" t="str">
        <f>_xlfn.XLOOKUP($A335,'(backend scoring)'!$V$2:$V$333,'(backend scoring)'!$A$2:$A$333,"")</f>
        <v/>
      </c>
      <c r="C335" s="209" t="str">
        <f>IFERROR(VLOOKUP($B335,'Institution Evaluation'!$A$55:$F$345,2,0),IFERROR(VLOOKUP($B335,'Privacy Analyst Evaluation'!$A$46:$F$120,2,0),""))&amp;""</f>
        <v/>
      </c>
      <c r="D335" s="209" t="str">
        <f>IFERROR(VLOOKUP($B335,'Institution Evaluation'!$A$55:$F$345,3,0),IFERROR(VLOOKUP($B335,'Privacy Analyst Evaluation'!$A$46:$F$120,3,0),""))&amp;""</f>
        <v/>
      </c>
      <c r="E335" s="209" t="str">
        <f>IFERROR(VLOOKUP($B335,'Institution Evaluation'!$A$55:$F$345,4,0),IFERROR(VLOOKUP($B335,'Privacy Analyst Evaluation'!$A$46:$F$120,4,0),""))&amp;""</f>
        <v/>
      </c>
      <c r="F335" s="209" t="str">
        <f>IFERROR(VLOOKUP($B335,'Institution Evaluation'!$A$55:$F$345,6,0),IFERROR(VLOOKUP($B335,'Privacy Analyst Evaluation'!$A$46:$F$120,6,0),""))&amp;""</f>
        <v/>
      </c>
      <c r="G335" s="210"/>
      <c r="H335" s="209" t="str">
        <f>IFERROR(IF($H334+1&gt;'(backend scoring)'!$Q$335,"",$H334+1),"")</f>
        <v/>
      </c>
      <c r="I335" s="209" t="str">
        <f>_xlfn.XLOOKUP($H335,'(backend scoring)'!$S$2:$S$333,'(backend scoring)'!$A$2:$A$333,"")</f>
        <v/>
      </c>
      <c r="J335" s="209" t="str">
        <f>IFERROR(VLOOKUP($I335,'Institution Evaluation'!$A$55:$F$345,2,0),IFERROR(VLOOKUP($I335,'Privacy Analyst Evaluation'!$A$46:$F$120,2,0),""))</f>
        <v/>
      </c>
      <c r="K335" s="209" t="str">
        <f>IFERROR(VLOOKUP($I335,'Institution Evaluation'!$A$55:$F$345,3,0),IFERROR(VLOOKUP($I335,'Privacy Analyst Evaluation'!$A$46:$F$120,3,0),""))&amp;""</f>
        <v/>
      </c>
      <c r="L335" s="209" t="str">
        <f>IFERROR(VLOOKUP($I335,'Institution Evaluation'!$A$55:$F$345,4,0),IFERROR(VLOOKUP($I335,'Privacy Analyst Evaluation'!$A$46:$F$120,4,0),""))&amp;""</f>
        <v/>
      </c>
      <c r="M335" s="209" t="str">
        <f>IFERROR(VLOOKUP($I335,'Institution Evaluation'!$A$55:$F$345,6,0),IFERROR(VLOOKUP($I335,'Privacy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2">
      <c r="A336" s="209" t="str">
        <f>IFERROR(IF($A335+1&gt;'(backend scoring)'!$T$335,"",$A335+1),"")</f>
        <v/>
      </c>
      <c r="B336" s="209" t="str">
        <f>_xlfn.XLOOKUP($A336,'(backend scoring)'!$V$2:$V$333,'(backend scoring)'!$A$2:$A$333,"")</f>
        <v/>
      </c>
      <c r="C336" s="209" t="str">
        <f>IFERROR(VLOOKUP($B336,'Institution Evaluation'!$A$55:$F$345,2,0),IFERROR(VLOOKUP($B336,'Privacy Analyst Evaluation'!$A$46:$F$120,2,0),""))&amp;""</f>
        <v/>
      </c>
      <c r="D336" s="209" t="str">
        <f>IFERROR(VLOOKUP($B336,'Institution Evaluation'!$A$55:$F$345,3,0),IFERROR(VLOOKUP($B336,'Privacy Analyst Evaluation'!$A$46:$F$120,3,0),""))&amp;""</f>
        <v/>
      </c>
      <c r="E336" s="209" t="str">
        <f>IFERROR(VLOOKUP($B336,'Institution Evaluation'!$A$55:$F$345,4,0),IFERROR(VLOOKUP($B336,'Privacy Analyst Evaluation'!$A$46:$F$120,4,0),""))&amp;""</f>
        <v/>
      </c>
      <c r="F336" s="209" t="str">
        <f>IFERROR(VLOOKUP($B336,'Institution Evaluation'!$A$55:$F$345,6,0),IFERROR(VLOOKUP($B336,'Privacy Analyst Evaluation'!$A$46:$F$120,6,0),""))&amp;""</f>
        <v/>
      </c>
      <c r="G336" s="210"/>
      <c r="H336" s="209" t="str">
        <f>IFERROR(IF($H335+1&gt;'(backend scoring)'!$Q$335,"",$H335+1),"")</f>
        <v/>
      </c>
      <c r="I336" s="209" t="str">
        <f>_xlfn.XLOOKUP($H336,'(backend scoring)'!$S$2:$S$333,'(backend scoring)'!$A$2:$A$333,"")</f>
        <v/>
      </c>
      <c r="J336" s="209" t="str">
        <f>IFERROR(VLOOKUP($I336,'Institution Evaluation'!$A$55:$F$345,2,0),IFERROR(VLOOKUP($I336,'Privacy Analyst Evaluation'!$A$46:$F$120,2,0),""))</f>
        <v/>
      </c>
      <c r="K336" s="209" t="str">
        <f>IFERROR(VLOOKUP($I336,'Institution Evaluation'!$A$55:$F$345,3,0),IFERROR(VLOOKUP($I336,'Privacy Analyst Evaluation'!$A$46:$F$120,3,0),""))&amp;""</f>
        <v/>
      </c>
      <c r="L336" s="209" t="str">
        <f>IFERROR(VLOOKUP($I336,'Institution Evaluation'!$A$55:$F$345,4,0),IFERROR(VLOOKUP($I336,'Privacy Analyst Evaluation'!$A$46:$F$120,4,0),""))&amp;""</f>
        <v/>
      </c>
      <c r="M336" s="209" t="str">
        <f>IFERROR(VLOOKUP($I336,'Institution Evaluation'!$A$55:$F$345,6,0),IFERROR(VLOOKUP($I336,'Privacy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2">
      <c r="A337" s="209" t="str">
        <f>IFERROR(IF($A336+1&gt;'(backend scoring)'!$T$335,"",$A336+1),"")</f>
        <v/>
      </c>
      <c r="B337" s="209" t="str">
        <f>_xlfn.XLOOKUP($A337,'(backend scoring)'!$V$2:$V$333,'(backend scoring)'!$A$2:$A$333,"")</f>
        <v/>
      </c>
      <c r="C337" s="209" t="str">
        <f>IFERROR(VLOOKUP($B337,'Institution Evaluation'!$A$55:$F$345,2,0),IFERROR(VLOOKUP($B337,'Privacy Analyst Evaluation'!$A$46:$F$120,2,0),""))&amp;""</f>
        <v/>
      </c>
      <c r="D337" s="209" t="str">
        <f>IFERROR(VLOOKUP($B337,'Institution Evaluation'!$A$55:$F$345,3,0),IFERROR(VLOOKUP($B337,'Privacy Analyst Evaluation'!$A$46:$F$120,3,0),""))&amp;""</f>
        <v/>
      </c>
      <c r="E337" s="209" t="str">
        <f>IFERROR(VLOOKUP($B337,'Institution Evaluation'!$A$55:$F$345,4,0),IFERROR(VLOOKUP($B337,'Privacy Analyst Evaluation'!$A$46:$F$120,4,0),""))&amp;""</f>
        <v/>
      </c>
      <c r="F337" s="209" t="str">
        <f>IFERROR(VLOOKUP($B337,'Institution Evaluation'!$A$55:$F$345,6,0),IFERROR(VLOOKUP($B337,'Privacy Analyst Evaluation'!$A$46:$F$120,6,0),""))&amp;""</f>
        <v/>
      </c>
      <c r="G337" s="210"/>
      <c r="H337" s="209" t="str">
        <f>IFERROR(IF($H336+1&gt;'(backend scoring)'!$Q$335,"",$H336+1),"")</f>
        <v/>
      </c>
      <c r="I337" s="209" t="str">
        <f>_xlfn.XLOOKUP($H337,'(backend scoring)'!$S$2:$S$333,'(backend scoring)'!$A$2:$A$333,"")</f>
        <v/>
      </c>
      <c r="J337" s="209" t="str">
        <f>IFERROR(VLOOKUP($I337,'Institution Evaluation'!$A$55:$F$345,2,0),IFERROR(VLOOKUP($I337,'Privacy Analyst Evaluation'!$A$46:$F$120,2,0),""))</f>
        <v/>
      </c>
      <c r="K337" s="209" t="str">
        <f>IFERROR(VLOOKUP($I337,'Institution Evaluation'!$A$55:$F$345,3,0),IFERROR(VLOOKUP($I337,'Privacy Analyst Evaluation'!$A$46:$F$120,3,0),""))&amp;""</f>
        <v/>
      </c>
      <c r="L337" s="209" t="str">
        <f>IFERROR(VLOOKUP($I337,'Institution Evaluation'!$A$55:$F$345,4,0),IFERROR(VLOOKUP($I337,'Privacy Analyst Evaluation'!$A$46:$F$120,4,0),""))&amp;""</f>
        <v/>
      </c>
      <c r="M337" s="209" t="str">
        <f>IFERROR(VLOOKUP($I337,'Institution Evaluation'!$A$55:$F$345,6,0),IFERROR(VLOOKUP($I337,'Privacy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2">
      <c r="A338" s="209" t="str">
        <f>IFERROR(IF($A337+1&gt;'(backend scoring)'!$T$335,"",$A337+1),"")</f>
        <v/>
      </c>
      <c r="B338" s="209" t="str">
        <f>_xlfn.XLOOKUP($A338,'(backend scoring)'!$V$2:$V$333,'(backend scoring)'!$A$2:$A$333,"")</f>
        <v/>
      </c>
      <c r="C338" s="209" t="str">
        <f>IFERROR(VLOOKUP($B338,'Institution Evaluation'!$A$55:$F$345,2,0),IFERROR(VLOOKUP($B338,'Privacy Analyst Evaluation'!$A$46:$F$120,2,0),""))&amp;""</f>
        <v/>
      </c>
      <c r="D338" s="209" t="str">
        <f>IFERROR(VLOOKUP($B338,'Institution Evaluation'!$A$55:$F$345,3,0),IFERROR(VLOOKUP($B338,'Privacy Analyst Evaluation'!$A$46:$F$120,3,0),""))&amp;""</f>
        <v/>
      </c>
      <c r="E338" s="209" t="str">
        <f>IFERROR(VLOOKUP($B338,'Institution Evaluation'!$A$55:$F$345,4,0),IFERROR(VLOOKUP($B338,'Privacy Analyst Evaluation'!$A$46:$F$120,4,0),""))&amp;""</f>
        <v/>
      </c>
      <c r="F338" s="209" t="str">
        <f>IFERROR(VLOOKUP($B338,'Institution Evaluation'!$A$55:$F$345,6,0),IFERROR(VLOOKUP($B338,'Privacy Analyst Evaluation'!$A$46:$F$120,6,0),""))&amp;""</f>
        <v/>
      </c>
      <c r="G338" s="210"/>
      <c r="H338" s="209" t="str">
        <f>IFERROR(IF($H337+1&gt;'(backend scoring)'!$Q$335,"",$H337+1),"")</f>
        <v/>
      </c>
      <c r="I338" s="209" t="str">
        <f>_xlfn.XLOOKUP($H338,'(backend scoring)'!$S$2:$S$333,'(backend scoring)'!$A$2:$A$333,"")</f>
        <v/>
      </c>
      <c r="J338" s="209" t="str">
        <f>IFERROR(VLOOKUP($I338,'Institution Evaluation'!$A$55:$F$345,2,0),IFERROR(VLOOKUP($I338,'Privacy Analyst Evaluation'!$A$46:$F$120,2,0),""))</f>
        <v/>
      </c>
      <c r="K338" s="209" t="str">
        <f>IFERROR(VLOOKUP($I338,'Institution Evaluation'!$A$55:$F$345,3,0),IFERROR(VLOOKUP($I338,'Privacy Analyst Evaluation'!$A$46:$F$120,3,0),""))&amp;""</f>
        <v/>
      </c>
      <c r="L338" s="209" t="str">
        <f>IFERROR(VLOOKUP($I338,'Institution Evaluation'!$A$55:$F$345,4,0),IFERROR(VLOOKUP($I338,'Privacy Analyst Evaluation'!$A$46:$F$120,4,0),""))&amp;""</f>
        <v/>
      </c>
      <c r="M338" s="209" t="str">
        <f>IFERROR(VLOOKUP($I338,'Institution Evaluation'!$A$55:$F$345,6,0),IFERROR(VLOOKUP($I338,'Privacy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2">
      <c r="A339" s="209" t="str">
        <f>IFERROR(IF($A338+1&gt;'(backend scoring)'!$T$335,"",$A338+1),"")</f>
        <v/>
      </c>
      <c r="B339" s="209" t="str">
        <f>_xlfn.XLOOKUP($A339,'(backend scoring)'!$V$2:$V$333,'(backend scoring)'!$A$2:$A$333,"")</f>
        <v/>
      </c>
      <c r="C339" s="209" t="str">
        <f>IFERROR(VLOOKUP($B339,'Institution Evaluation'!$A$55:$F$345,2,0),IFERROR(VLOOKUP($B339,'Privacy Analyst Evaluation'!$A$46:$F$120,2,0),""))&amp;""</f>
        <v/>
      </c>
      <c r="D339" s="209" t="str">
        <f>IFERROR(VLOOKUP($B339,'Institution Evaluation'!$A$55:$F$345,3,0),IFERROR(VLOOKUP($B339,'Privacy Analyst Evaluation'!$A$46:$F$120,3,0),""))&amp;""</f>
        <v/>
      </c>
      <c r="E339" s="209" t="str">
        <f>IFERROR(VLOOKUP($B339,'Institution Evaluation'!$A$55:$F$345,4,0),IFERROR(VLOOKUP($B339,'Privacy Analyst Evaluation'!$A$46:$F$120,4,0),""))&amp;""</f>
        <v/>
      </c>
      <c r="F339" s="209" t="str">
        <f>IFERROR(VLOOKUP($B339,'Institution Evaluation'!$A$55:$F$345,6,0),IFERROR(VLOOKUP($B339,'Privacy Analyst Evaluation'!$A$46:$F$120,6,0),""))&amp;""</f>
        <v/>
      </c>
      <c r="G339" s="210"/>
      <c r="H339" s="209" t="str">
        <f>IFERROR(IF($H338+1&gt;'(backend scoring)'!$Q$335,"",$H338+1),"")</f>
        <v/>
      </c>
      <c r="I339" s="209" t="str">
        <f>_xlfn.XLOOKUP($H339,'(backend scoring)'!$S$2:$S$333,'(backend scoring)'!$A$2:$A$333,"")</f>
        <v/>
      </c>
      <c r="J339" s="209" t="str">
        <f>IFERROR(VLOOKUP($I339,'Institution Evaluation'!$A$55:$F$345,2,0),IFERROR(VLOOKUP($I339,'Privacy Analyst Evaluation'!$A$46:$F$120,2,0),""))</f>
        <v/>
      </c>
      <c r="K339" s="209" t="str">
        <f>IFERROR(VLOOKUP($I339,'Institution Evaluation'!$A$55:$F$345,3,0),IFERROR(VLOOKUP($I339,'Privacy Analyst Evaluation'!$A$46:$F$120,3,0),""))&amp;""</f>
        <v/>
      </c>
      <c r="L339" s="209" t="str">
        <f>IFERROR(VLOOKUP($I339,'Institution Evaluation'!$A$55:$F$345,4,0),IFERROR(VLOOKUP($I339,'Privacy Analyst Evaluation'!$A$46:$F$120,4,0),""))&amp;""</f>
        <v/>
      </c>
      <c r="M339" s="209" t="str">
        <f>IFERROR(VLOOKUP($I339,'Institution Evaluation'!$A$55:$F$345,6,0),IFERROR(VLOOKUP($I339,'Privacy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2">
      <c r="A340" s="209" t="str">
        <f>IFERROR(IF($A339+1&gt;'(backend scoring)'!$T$335,"",$A339+1),"")</f>
        <v/>
      </c>
      <c r="B340" s="209" t="str">
        <f>_xlfn.XLOOKUP($A340,'(backend scoring)'!$V$2:$V$333,'(backend scoring)'!$A$2:$A$333,"")</f>
        <v/>
      </c>
      <c r="C340" s="209" t="str">
        <f>IFERROR(VLOOKUP($B340,'Institution Evaluation'!$A$55:$F$345,2,0),IFERROR(VLOOKUP($B340,'Privacy Analyst Evaluation'!$A$46:$F$120,2,0),""))&amp;""</f>
        <v/>
      </c>
      <c r="D340" s="209" t="str">
        <f>IFERROR(VLOOKUP($B340,'Institution Evaluation'!$A$55:$F$345,3,0),IFERROR(VLOOKUP($B340,'Privacy Analyst Evaluation'!$A$46:$F$120,3,0),""))&amp;""</f>
        <v/>
      </c>
      <c r="E340" s="209" t="str">
        <f>IFERROR(VLOOKUP($B340,'Institution Evaluation'!$A$55:$F$345,4,0),IFERROR(VLOOKUP($B340,'Privacy Analyst Evaluation'!$A$46:$F$120,4,0),""))&amp;""</f>
        <v/>
      </c>
      <c r="F340" s="209" t="str">
        <f>IFERROR(VLOOKUP($B340,'Institution Evaluation'!$A$55:$F$345,6,0),IFERROR(VLOOKUP($B340,'Privacy Analyst Evaluation'!$A$46:$F$120,6,0),""))&amp;""</f>
        <v/>
      </c>
      <c r="G340" s="210"/>
      <c r="H340" s="209" t="str">
        <f>IFERROR(IF($H339+1&gt;'(backend scoring)'!$Q$335,"",$H339+1),"")</f>
        <v/>
      </c>
      <c r="I340" s="209" t="str">
        <f>_xlfn.XLOOKUP($H340,'(backend scoring)'!$S$2:$S$333,'(backend scoring)'!$A$2:$A$333,"")</f>
        <v/>
      </c>
      <c r="J340" s="209" t="str">
        <f>IFERROR(VLOOKUP($I340,'Institution Evaluation'!$A$55:$F$345,2,0),IFERROR(VLOOKUP($I340,'Privacy Analyst Evaluation'!$A$46:$F$120,2,0),""))</f>
        <v/>
      </c>
      <c r="K340" s="209" t="str">
        <f>IFERROR(VLOOKUP($I340,'Institution Evaluation'!$A$55:$F$345,3,0),IFERROR(VLOOKUP($I340,'Privacy Analyst Evaluation'!$A$46:$F$120,3,0),""))&amp;""</f>
        <v/>
      </c>
      <c r="L340" s="209" t="str">
        <f>IFERROR(VLOOKUP($I340,'Institution Evaluation'!$A$55:$F$345,4,0),IFERROR(VLOOKUP($I340,'Privacy Analyst Evaluation'!$A$46:$F$120,4,0),""))&amp;""</f>
        <v/>
      </c>
      <c r="M340" s="209" t="str">
        <f>IFERROR(VLOOKUP($I340,'Institution Evaluation'!$A$55:$F$345,6,0),IFERROR(VLOOKUP($I340,'Privacy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2">
      <c r="A341" s="209" t="str">
        <f>IFERROR(IF($A340+1&gt;'(backend scoring)'!$T$335,"",$A340+1),"")</f>
        <v/>
      </c>
      <c r="B341" s="209" t="str">
        <f>_xlfn.XLOOKUP($A341,'(backend scoring)'!$V$2:$V$333,'(backend scoring)'!$A$2:$A$333,"")</f>
        <v/>
      </c>
      <c r="C341" s="209" t="str">
        <f>IFERROR(VLOOKUP($B341,'Institution Evaluation'!$A$55:$F$345,2,0),IFERROR(VLOOKUP($B341,'Privacy Analyst Evaluation'!$A$46:$F$120,2,0),""))&amp;""</f>
        <v/>
      </c>
      <c r="D341" s="209" t="str">
        <f>IFERROR(VLOOKUP($B341,'Institution Evaluation'!$A$55:$F$345,3,0),IFERROR(VLOOKUP($B341,'Privacy Analyst Evaluation'!$A$46:$F$120,3,0),""))&amp;""</f>
        <v/>
      </c>
      <c r="E341" s="209" t="str">
        <f>IFERROR(VLOOKUP($B341,'Institution Evaluation'!$A$55:$F$345,4,0),IFERROR(VLOOKUP($B341,'Privacy Analyst Evaluation'!$A$46:$F$120,4,0),""))&amp;""</f>
        <v/>
      </c>
      <c r="F341" s="209" t="str">
        <f>IFERROR(VLOOKUP($B341,'Institution Evaluation'!$A$55:$F$345,6,0),IFERROR(VLOOKUP($B341,'Privacy Analyst Evaluation'!$A$46:$F$120,6,0),""))&amp;""</f>
        <v/>
      </c>
      <c r="G341" s="210"/>
      <c r="H341" s="209" t="str">
        <f>IFERROR(IF($H340+1&gt;'(backend scoring)'!$Q$335,"",$H340+1),"")</f>
        <v/>
      </c>
      <c r="I341" s="209" t="str">
        <f>_xlfn.XLOOKUP($H341,'(backend scoring)'!$S$2:$S$333,'(backend scoring)'!$A$2:$A$333,"")</f>
        <v/>
      </c>
      <c r="J341" s="209" t="str">
        <f>IFERROR(VLOOKUP($I341,'Institution Evaluation'!$A$55:$F$345,2,0),IFERROR(VLOOKUP($I341,'Privacy Analyst Evaluation'!$A$46:$F$120,2,0),""))</f>
        <v/>
      </c>
      <c r="K341" s="209" t="str">
        <f>IFERROR(VLOOKUP($I341,'Institution Evaluation'!$A$55:$F$345,3,0),IFERROR(VLOOKUP($I341,'Privacy Analyst Evaluation'!$A$46:$F$120,3,0),""))&amp;""</f>
        <v/>
      </c>
      <c r="L341" s="209" t="str">
        <f>IFERROR(VLOOKUP($I341,'Institution Evaluation'!$A$55:$F$345,4,0),IFERROR(VLOOKUP($I341,'Privacy Analyst Evaluation'!$A$46:$F$120,4,0),""))&amp;""</f>
        <v/>
      </c>
      <c r="M341" s="209" t="str">
        <f>IFERROR(VLOOKUP($I341,'Institution Evaluation'!$A$55:$F$345,6,0),IFERROR(VLOOKUP($I341,'Privacy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2">
      <c r="A342" s="209" t="str">
        <f>IFERROR(IF($A341+1&gt;'(backend scoring)'!$T$335,"",$A341+1),"")</f>
        <v/>
      </c>
      <c r="B342" s="209" t="str">
        <f>_xlfn.XLOOKUP($A342,'(backend scoring)'!$V$2:$V$333,'(backend scoring)'!$A$2:$A$333,"")</f>
        <v/>
      </c>
      <c r="C342" s="209" t="str">
        <f>IFERROR(VLOOKUP($B342,'Institution Evaluation'!$A$55:$F$345,2,0),IFERROR(VLOOKUP($B342,'Privacy Analyst Evaluation'!$A$46:$F$120,2,0),""))&amp;""</f>
        <v/>
      </c>
      <c r="D342" s="209" t="str">
        <f>IFERROR(VLOOKUP($B342,'Institution Evaluation'!$A$55:$F$345,3,0),IFERROR(VLOOKUP($B342,'Privacy Analyst Evaluation'!$A$46:$F$120,3,0),""))&amp;""</f>
        <v/>
      </c>
      <c r="E342" s="209" t="str">
        <f>IFERROR(VLOOKUP($B342,'Institution Evaluation'!$A$55:$F$345,4,0),IFERROR(VLOOKUP($B342,'Privacy Analyst Evaluation'!$A$46:$F$120,4,0),""))&amp;""</f>
        <v/>
      </c>
      <c r="F342" s="209" t="str">
        <f>IFERROR(VLOOKUP($B342,'Institution Evaluation'!$A$55:$F$345,6,0),IFERROR(VLOOKUP($B342,'Privacy Analyst Evaluation'!$A$46:$F$120,6,0),""))&amp;""</f>
        <v/>
      </c>
      <c r="G342" s="210"/>
      <c r="H342" s="209" t="str">
        <f>IFERROR(IF($H341+1&gt;'(backend scoring)'!$Q$335,"",$H341+1),"")</f>
        <v/>
      </c>
      <c r="I342" s="209" t="str">
        <f>_xlfn.XLOOKUP($H342,'(backend scoring)'!$S$2:$S$333,'(backend scoring)'!$A$2:$A$333,"")</f>
        <v/>
      </c>
      <c r="J342" s="209" t="str">
        <f>IFERROR(VLOOKUP($I342,'Institution Evaluation'!$A$55:$F$345,2,0),IFERROR(VLOOKUP($I342,'Privacy Analyst Evaluation'!$A$46:$F$120,2,0),""))</f>
        <v/>
      </c>
      <c r="K342" s="209" t="str">
        <f>IFERROR(VLOOKUP($I342,'Institution Evaluation'!$A$55:$F$345,3,0),IFERROR(VLOOKUP($I342,'Privacy Analyst Evaluation'!$A$46:$F$120,3,0),""))&amp;""</f>
        <v/>
      </c>
      <c r="L342" s="209" t="str">
        <f>IFERROR(VLOOKUP($I342,'Institution Evaluation'!$A$55:$F$345,4,0),IFERROR(VLOOKUP($I342,'Privacy Analyst Evaluation'!$A$46:$F$120,4,0),""))&amp;""</f>
        <v/>
      </c>
      <c r="M342" s="209" t="str">
        <f>IFERROR(VLOOKUP($I342,'Institution Evaluation'!$A$55:$F$345,6,0),IFERROR(VLOOKUP($I342,'Privacy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2">
      <c r="A343" s="209" t="str">
        <f>IFERROR(IF($A342+1&gt;'(backend scoring)'!$T$335,"",$A342+1),"")</f>
        <v/>
      </c>
      <c r="B343" s="209" t="str">
        <f>_xlfn.XLOOKUP($A343,'(backend scoring)'!$V$2:$V$333,'(backend scoring)'!$A$2:$A$333,"")</f>
        <v/>
      </c>
      <c r="C343" s="209" t="str">
        <f>IFERROR(VLOOKUP($B343,'Institution Evaluation'!$A$55:$F$345,2,0),IFERROR(VLOOKUP($B343,'Privacy Analyst Evaluation'!$A$46:$F$120,2,0),""))&amp;""</f>
        <v/>
      </c>
      <c r="D343" s="209" t="str">
        <f>IFERROR(VLOOKUP($B343,'Institution Evaluation'!$A$55:$F$345,3,0),IFERROR(VLOOKUP($B343,'Privacy Analyst Evaluation'!$A$46:$F$120,3,0),""))&amp;""</f>
        <v/>
      </c>
      <c r="E343" s="209" t="str">
        <f>IFERROR(VLOOKUP($B343,'Institution Evaluation'!$A$55:$F$345,4,0),IFERROR(VLOOKUP($B343,'Privacy Analyst Evaluation'!$A$46:$F$120,4,0),""))&amp;""</f>
        <v/>
      </c>
      <c r="F343" s="209" t="str">
        <f>IFERROR(VLOOKUP($B343,'Institution Evaluation'!$A$55:$F$345,6,0),IFERROR(VLOOKUP($B343,'Privacy Analyst Evaluation'!$A$46:$F$120,6,0),""))&amp;""</f>
        <v/>
      </c>
      <c r="G343" s="210"/>
      <c r="H343" s="209" t="str">
        <f>IFERROR(IF($H342+1&gt;'(backend scoring)'!$Q$335,"",$H342+1),"")</f>
        <v/>
      </c>
      <c r="I343" s="209" t="str">
        <f>_xlfn.XLOOKUP($H343,'(backend scoring)'!$S$2:$S$333,'(backend scoring)'!$A$2:$A$333,"")</f>
        <v/>
      </c>
      <c r="J343" s="209" t="str">
        <f>IFERROR(VLOOKUP($I343,'Institution Evaluation'!$A$55:$F$345,2,0),IFERROR(VLOOKUP($I343,'Privacy Analyst Evaluation'!$A$46:$F$120,2,0),""))</f>
        <v/>
      </c>
      <c r="K343" s="209" t="str">
        <f>IFERROR(VLOOKUP($I343,'Institution Evaluation'!$A$55:$F$345,3,0),IFERROR(VLOOKUP($I343,'Privacy Analyst Evaluation'!$A$46:$F$120,3,0),""))&amp;""</f>
        <v/>
      </c>
      <c r="L343" s="209" t="str">
        <f>IFERROR(VLOOKUP($I343,'Institution Evaluation'!$A$55:$F$345,4,0),IFERROR(VLOOKUP($I343,'Privacy Analyst Evaluation'!$A$46:$F$120,4,0),""))&amp;""</f>
        <v/>
      </c>
      <c r="M343" s="209" t="str">
        <f>IFERROR(VLOOKUP($I343,'Institution Evaluation'!$A$55:$F$345,6,0),IFERROR(VLOOKUP($I343,'Privacy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2">
      <c r="A344" s="209" t="str">
        <f>IFERROR(IF($A343+1&gt;'(backend scoring)'!$T$335,"",$A343+1),"")</f>
        <v/>
      </c>
      <c r="B344" s="209" t="str">
        <f>_xlfn.XLOOKUP($A344,'(backend scoring)'!$V$2:$V$333,'(backend scoring)'!$A$2:$A$333,"")</f>
        <v/>
      </c>
      <c r="C344" s="209" t="str">
        <f>IFERROR(VLOOKUP($B344,'Institution Evaluation'!$A$55:$F$345,2,0),IFERROR(VLOOKUP($B344,'Privacy Analyst Evaluation'!$A$46:$F$120,2,0),""))&amp;""</f>
        <v/>
      </c>
      <c r="D344" s="209" t="str">
        <f>IFERROR(VLOOKUP($B344,'Institution Evaluation'!$A$55:$F$345,3,0),IFERROR(VLOOKUP($B344,'Privacy Analyst Evaluation'!$A$46:$F$120,3,0),""))&amp;""</f>
        <v/>
      </c>
      <c r="E344" s="209" t="str">
        <f>IFERROR(VLOOKUP($B344,'Institution Evaluation'!$A$55:$F$345,4,0),IFERROR(VLOOKUP($B344,'Privacy Analyst Evaluation'!$A$46:$F$120,4,0),""))&amp;""</f>
        <v/>
      </c>
      <c r="F344" s="209" t="str">
        <f>IFERROR(VLOOKUP($B344,'Institution Evaluation'!$A$55:$F$345,6,0),IFERROR(VLOOKUP($B344,'Privacy Analyst Evaluation'!$A$46:$F$120,6,0),""))&amp;""</f>
        <v/>
      </c>
      <c r="G344" s="210"/>
      <c r="H344" s="209" t="str">
        <f>IFERROR(IF($H343+1&gt;'(backend scoring)'!$Q$335,"",$H343+1),"")</f>
        <v/>
      </c>
      <c r="I344" s="209" t="str">
        <f>_xlfn.XLOOKUP($H344,'(backend scoring)'!$S$2:$S$333,'(backend scoring)'!$A$2:$A$333,"")</f>
        <v/>
      </c>
      <c r="J344" s="209" t="str">
        <f>IFERROR(VLOOKUP($I344,'Institution Evaluation'!$A$55:$F$345,2,0),IFERROR(VLOOKUP($I344,'Privacy Analyst Evaluation'!$A$46:$F$120,2,0),""))</f>
        <v/>
      </c>
      <c r="K344" s="209" t="str">
        <f>IFERROR(VLOOKUP($I344,'Institution Evaluation'!$A$55:$F$345,3,0),IFERROR(VLOOKUP($I344,'Privacy Analyst Evaluation'!$A$46:$F$120,3,0),""))&amp;""</f>
        <v/>
      </c>
      <c r="L344" s="209" t="str">
        <f>IFERROR(VLOOKUP($I344,'Institution Evaluation'!$A$55:$F$345,4,0),IFERROR(VLOOKUP($I344,'Privacy Analyst Evaluation'!$A$46:$F$120,4,0),""))&amp;""</f>
        <v/>
      </c>
      <c r="M344" s="209" t="str">
        <f>IFERROR(VLOOKUP($I344,'Institution Evaluation'!$A$55:$F$345,6,0),IFERROR(VLOOKUP($I344,'Privacy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2">
      <c r="A345" s="209" t="str">
        <f>IFERROR(IF($A344+1&gt;'(backend scoring)'!$T$335,"",$A344+1),"")</f>
        <v/>
      </c>
      <c r="B345" s="209" t="str">
        <f>_xlfn.XLOOKUP($A345,'(backend scoring)'!$V$2:$V$333,'(backend scoring)'!$A$2:$A$333,"")</f>
        <v/>
      </c>
      <c r="C345" s="209" t="str">
        <f>IFERROR(VLOOKUP($B345,'Institution Evaluation'!$A$55:$F$345,2,0),IFERROR(VLOOKUP($B345,'Privacy Analyst Evaluation'!$A$46:$F$120,2,0),""))&amp;""</f>
        <v/>
      </c>
      <c r="D345" s="209" t="str">
        <f>IFERROR(VLOOKUP($B345,'Institution Evaluation'!$A$55:$F$345,3,0),IFERROR(VLOOKUP($B345,'Privacy Analyst Evaluation'!$A$46:$F$120,3,0),""))&amp;""</f>
        <v/>
      </c>
      <c r="E345" s="209" t="str">
        <f>IFERROR(VLOOKUP($B345,'Institution Evaluation'!$A$55:$F$345,4,0),IFERROR(VLOOKUP($B345,'Privacy Analyst Evaluation'!$A$46:$F$120,4,0),""))&amp;""</f>
        <v/>
      </c>
      <c r="F345" s="209" t="str">
        <f>IFERROR(VLOOKUP($B345,'Institution Evaluation'!$A$55:$F$345,6,0),IFERROR(VLOOKUP($B345,'Privacy Analyst Evaluation'!$A$46:$F$120,6,0),""))&amp;""</f>
        <v/>
      </c>
      <c r="G345" s="210"/>
      <c r="H345" s="209" t="str">
        <f>IFERROR(IF($H344+1&gt;'(backend scoring)'!$Q$335,"",$H344+1),"")</f>
        <v/>
      </c>
      <c r="I345" s="209" t="str">
        <f>_xlfn.XLOOKUP($H345,'(backend scoring)'!$S$2:$S$333,'(backend scoring)'!$A$2:$A$333,"")</f>
        <v/>
      </c>
      <c r="J345" s="209" t="str">
        <f>IFERROR(VLOOKUP($I345,'Institution Evaluation'!$A$55:$F$345,2,0),IFERROR(VLOOKUP($I345,'Privacy Analyst Evaluation'!$A$46:$F$120,2,0),""))</f>
        <v/>
      </c>
      <c r="K345" s="209" t="str">
        <f>IFERROR(VLOOKUP($I345,'Institution Evaluation'!$A$55:$F$345,3,0),IFERROR(VLOOKUP($I345,'Privacy Analyst Evaluation'!$A$46:$F$120,3,0),""))&amp;""</f>
        <v/>
      </c>
      <c r="L345" s="209" t="str">
        <f>IFERROR(VLOOKUP($I345,'Institution Evaluation'!$A$55:$F$345,4,0),IFERROR(VLOOKUP($I345,'Privacy Analyst Evaluation'!$A$46:$F$120,4,0),""))&amp;""</f>
        <v/>
      </c>
      <c r="M345" s="209" t="str">
        <f>IFERROR(VLOOKUP($I345,'Institution Evaluation'!$A$55:$F$345,6,0),IFERROR(VLOOKUP($I345,'Privacy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2">
      <c r="A346" s="209" t="str">
        <f>IFERROR(IF($A345+1&gt;'(backend scoring)'!$T$335,"",$A345+1),"")</f>
        <v/>
      </c>
      <c r="B346" s="209" t="str">
        <f>_xlfn.XLOOKUP($A346,'(backend scoring)'!$V$2:$V$333,'(backend scoring)'!$A$2:$A$333,"")</f>
        <v/>
      </c>
      <c r="C346" s="209" t="str">
        <f>IFERROR(VLOOKUP($B346,'Institution Evaluation'!$A$55:$F$345,2,0),IFERROR(VLOOKUP($B346,'Privacy Analyst Evaluation'!$A$46:$F$120,2,0),""))&amp;""</f>
        <v/>
      </c>
      <c r="D346" s="209" t="str">
        <f>IFERROR(VLOOKUP($B346,'Institution Evaluation'!$A$55:$F$345,3,0),IFERROR(VLOOKUP($B346,'Privacy Analyst Evaluation'!$A$46:$F$120,3,0),""))&amp;""</f>
        <v/>
      </c>
      <c r="E346" s="209" t="str">
        <f>IFERROR(VLOOKUP($B346,'Institution Evaluation'!$A$55:$F$345,4,0),IFERROR(VLOOKUP($B346,'Privacy Analyst Evaluation'!$A$46:$F$120,4,0),""))&amp;""</f>
        <v/>
      </c>
      <c r="F346" s="209" t="str">
        <f>IFERROR(VLOOKUP($B346,'Institution Evaluation'!$A$55:$F$345,6,0),IFERROR(VLOOKUP($B346,'Privacy Analyst Evaluation'!$A$46:$F$120,6,0),""))&amp;""</f>
        <v/>
      </c>
      <c r="G346" s="210"/>
      <c r="H346" s="209" t="str">
        <f>IFERROR(IF($H345+1&gt;'(backend scoring)'!$Q$335,"",$H345+1),"")</f>
        <v/>
      </c>
      <c r="I346" s="209" t="str">
        <f>_xlfn.XLOOKUP($H346,'(backend scoring)'!$S$2:$S$333,'(backend scoring)'!$A$2:$A$333,"")</f>
        <v/>
      </c>
      <c r="J346" s="209" t="str">
        <f>IFERROR(VLOOKUP($I346,'Institution Evaluation'!$A$55:$F$345,2,0),IFERROR(VLOOKUP($I346,'Privacy Analyst Evaluation'!$A$46:$F$120,2,0),""))</f>
        <v/>
      </c>
      <c r="K346" s="209" t="str">
        <f>IFERROR(VLOOKUP($I346,'Institution Evaluation'!$A$55:$F$345,3,0),IFERROR(VLOOKUP($I346,'Privacy Analyst Evaluation'!$A$46:$F$120,3,0),""))&amp;""</f>
        <v/>
      </c>
      <c r="L346" s="209" t="str">
        <f>IFERROR(VLOOKUP($I346,'Institution Evaluation'!$A$55:$F$345,4,0),IFERROR(VLOOKUP($I346,'Privacy Analyst Evaluation'!$A$46:$F$120,4,0),""))&amp;""</f>
        <v/>
      </c>
      <c r="M346" s="209" t="str">
        <f>IFERROR(VLOOKUP($I346,'Institution Evaluation'!$A$55:$F$345,6,0),IFERROR(VLOOKUP($I346,'Privacy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2">
      <c r="A347" s="209" t="str">
        <f>IFERROR(IF($A346+1&gt;'(backend scoring)'!$T$335,"",$A346+1),"")</f>
        <v/>
      </c>
      <c r="B347" s="209" t="str">
        <f>_xlfn.XLOOKUP($A347,'(backend scoring)'!$V$2:$V$333,'(backend scoring)'!$A$2:$A$333,"")</f>
        <v/>
      </c>
      <c r="C347" s="209" t="str">
        <f>IFERROR(VLOOKUP($B347,'Institution Evaluation'!$A$55:$F$345,2,0),IFERROR(VLOOKUP($B347,'Privacy Analyst Evaluation'!$A$46:$F$120,2,0),""))&amp;""</f>
        <v/>
      </c>
      <c r="D347" s="209" t="str">
        <f>IFERROR(VLOOKUP($B347,'Institution Evaluation'!$A$55:$F$345,3,0),IFERROR(VLOOKUP($B347,'Privacy Analyst Evaluation'!$A$46:$F$120,3,0),""))&amp;""</f>
        <v/>
      </c>
      <c r="E347" s="209" t="str">
        <f>IFERROR(VLOOKUP($B347,'Institution Evaluation'!$A$55:$F$345,4,0),IFERROR(VLOOKUP($B347,'Privacy Analyst Evaluation'!$A$46:$F$120,4,0),""))&amp;""</f>
        <v/>
      </c>
      <c r="F347" s="209" t="str">
        <f>IFERROR(VLOOKUP($B347,'Institution Evaluation'!$A$55:$F$345,6,0),IFERROR(VLOOKUP($B347,'Privacy Analyst Evaluation'!$A$46:$F$120,6,0),""))&amp;""</f>
        <v/>
      </c>
      <c r="G347" s="210"/>
      <c r="H347" s="209" t="str">
        <f>IFERROR(IF($H346+1&gt;'(backend scoring)'!$Q$335,"",$H346+1),"")</f>
        <v/>
      </c>
      <c r="I347" s="209" t="str">
        <f>_xlfn.XLOOKUP($H347,'(backend scoring)'!$S$2:$S$333,'(backend scoring)'!$A$2:$A$333,"")</f>
        <v/>
      </c>
      <c r="J347" s="209" t="str">
        <f>IFERROR(VLOOKUP($I347,'Institution Evaluation'!$A$55:$F$345,2,0),IFERROR(VLOOKUP($I347,'Privacy Analyst Evaluation'!$A$46:$F$120,2,0),""))</f>
        <v/>
      </c>
      <c r="K347" s="209" t="str">
        <f>IFERROR(VLOOKUP($I347,'Institution Evaluation'!$A$55:$F$345,3,0),IFERROR(VLOOKUP($I347,'Privacy Analyst Evaluation'!$A$46:$F$120,3,0),""))&amp;""</f>
        <v/>
      </c>
      <c r="L347" s="209" t="str">
        <f>IFERROR(VLOOKUP($I347,'Institution Evaluation'!$A$55:$F$345,4,0),IFERROR(VLOOKUP($I347,'Privacy Analyst Evaluation'!$A$46:$F$120,4,0),""))&amp;""</f>
        <v/>
      </c>
      <c r="M347" s="209" t="str">
        <f>IFERROR(VLOOKUP($I347,'Institution Evaluation'!$A$55:$F$345,6,0),IFERROR(VLOOKUP($I347,'Privacy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2">
      <c r="A348" s="209" t="str">
        <f>IFERROR(IF($A347+1&gt;'(backend scoring)'!$T$335,"",$A347+1),"")</f>
        <v/>
      </c>
      <c r="B348" s="209" t="str">
        <f>_xlfn.XLOOKUP($A348,'(backend scoring)'!$V$2:$V$333,'(backend scoring)'!$A$2:$A$333,"")</f>
        <v/>
      </c>
      <c r="C348" s="209" t="str">
        <f>IFERROR(VLOOKUP($B348,'Institution Evaluation'!$A$55:$F$345,2,0),IFERROR(VLOOKUP($B348,'Privacy Analyst Evaluation'!$A$46:$F$120,2,0),""))&amp;""</f>
        <v/>
      </c>
      <c r="D348" s="209" t="str">
        <f>IFERROR(VLOOKUP($B348,'Institution Evaluation'!$A$55:$F$345,3,0),IFERROR(VLOOKUP($B348,'Privacy Analyst Evaluation'!$A$46:$F$120,3,0),""))&amp;""</f>
        <v/>
      </c>
      <c r="E348" s="209" t="str">
        <f>IFERROR(VLOOKUP($B348,'Institution Evaluation'!$A$55:$F$345,4,0),IFERROR(VLOOKUP($B348,'Privacy Analyst Evaluation'!$A$46:$F$120,4,0),""))&amp;""</f>
        <v/>
      </c>
      <c r="F348" s="209" t="str">
        <f>IFERROR(VLOOKUP($B348,'Institution Evaluation'!$A$55:$F$345,6,0),IFERROR(VLOOKUP($B348,'Privacy Analyst Evaluation'!$A$46:$F$120,6,0),""))&amp;""</f>
        <v/>
      </c>
      <c r="G348" s="210"/>
      <c r="H348" s="209" t="str">
        <f>IFERROR(IF($H347+1&gt;'(backend scoring)'!$Q$335,"",$H347+1),"")</f>
        <v/>
      </c>
      <c r="I348" s="209" t="str">
        <f>_xlfn.XLOOKUP($H348,'(backend scoring)'!$S$2:$S$333,'(backend scoring)'!$A$2:$A$333,"")</f>
        <v/>
      </c>
      <c r="J348" s="209" t="str">
        <f>IFERROR(VLOOKUP($I348,'Institution Evaluation'!$A$55:$F$345,2,0),IFERROR(VLOOKUP($I348,'Privacy Analyst Evaluation'!$A$46:$F$120,2,0),""))</f>
        <v/>
      </c>
      <c r="K348" s="209" t="str">
        <f>IFERROR(VLOOKUP($I348,'Institution Evaluation'!$A$55:$F$345,3,0),IFERROR(VLOOKUP($I348,'Privacy Analyst Evaluation'!$A$46:$F$120,3,0),""))&amp;""</f>
        <v/>
      </c>
      <c r="L348" s="209" t="str">
        <f>IFERROR(VLOOKUP($I348,'Institution Evaluation'!$A$55:$F$345,4,0),IFERROR(VLOOKUP($I348,'Privacy Analyst Evaluation'!$A$46:$F$120,4,0),""))&amp;""</f>
        <v/>
      </c>
      <c r="M348" s="209" t="str">
        <f>IFERROR(VLOOKUP($I348,'Institution Evaluation'!$A$55:$F$345,6,0),IFERROR(VLOOKUP($I348,'Privacy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2">
      <c r="A349" s="209" t="str">
        <f>IFERROR(IF($A348+1&gt;'(backend scoring)'!$T$335,"",$A348+1),"")</f>
        <v/>
      </c>
      <c r="B349" s="209" t="str">
        <f>_xlfn.XLOOKUP($A349,'(backend scoring)'!$V$2:$V$333,'(backend scoring)'!$A$2:$A$333,"")</f>
        <v/>
      </c>
      <c r="C349" s="209" t="str">
        <f>IFERROR(VLOOKUP($B349,'Institution Evaluation'!$A$55:$F$345,2,0),IFERROR(VLOOKUP($B349,'Privacy Analyst Evaluation'!$A$46:$F$120,2,0),""))&amp;""</f>
        <v/>
      </c>
      <c r="D349" s="209" t="str">
        <f>IFERROR(VLOOKUP($B349,'Institution Evaluation'!$A$55:$F$345,3,0),IFERROR(VLOOKUP($B349,'Privacy Analyst Evaluation'!$A$46:$F$120,3,0),""))&amp;""</f>
        <v/>
      </c>
      <c r="E349" s="209" t="str">
        <f>IFERROR(VLOOKUP($B349,'Institution Evaluation'!$A$55:$F$345,4,0),IFERROR(VLOOKUP($B349,'Privacy Analyst Evaluation'!$A$46:$F$120,4,0),""))&amp;""</f>
        <v/>
      </c>
      <c r="F349" s="209" t="str">
        <f>IFERROR(VLOOKUP($B349,'Institution Evaluation'!$A$55:$F$345,6,0),IFERROR(VLOOKUP($B349,'Privacy Analyst Evaluation'!$A$46:$F$120,6,0),""))&amp;""</f>
        <v/>
      </c>
      <c r="G349" s="210"/>
      <c r="H349" s="209" t="str">
        <f>IFERROR(IF($H348+1&gt;'(backend scoring)'!$Q$335,"",$H348+1),"")</f>
        <v/>
      </c>
      <c r="I349" s="209" t="str">
        <f>_xlfn.XLOOKUP($H349,'(backend scoring)'!$S$2:$S$333,'(backend scoring)'!$A$2:$A$333,"")</f>
        <v/>
      </c>
      <c r="J349" s="209" t="str">
        <f>IFERROR(VLOOKUP($I349,'Institution Evaluation'!$A$55:$F$345,2,0),IFERROR(VLOOKUP($I349,'Privacy Analyst Evaluation'!$A$46:$F$120,2,0),""))</f>
        <v/>
      </c>
      <c r="K349" s="209" t="str">
        <f>IFERROR(VLOOKUP($I349,'Institution Evaluation'!$A$55:$F$345,3,0),IFERROR(VLOOKUP($I349,'Privacy Analyst Evaluation'!$A$46:$F$120,3,0),""))&amp;""</f>
        <v/>
      </c>
      <c r="L349" s="209" t="str">
        <f>IFERROR(VLOOKUP($I349,'Institution Evaluation'!$A$55:$F$345,4,0),IFERROR(VLOOKUP($I349,'Privacy Analyst Evaluation'!$A$46:$F$120,4,0),""))&amp;""</f>
        <v/>
      </c>
      <c r="M349" s="209" t="str">
        <f>IFERROR(VLOOKUP($I349,'Institution Evaluation'!$A$55:$F$345,6,0),IFERROR(VLOOKUP($I349,'Privacy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2">
      <c r="A350" s="209" t="str">
        <f>IFERROR(IF($A349+1&gt;'(backend scoring)'!$T$335,"",$A349+1),"")</f>
        <v/>
      </c>
      <c r="B350" s="209" t="str">
        <f>_xlfn.XLOOKUP($A350,'(backend scoring)'!$V$2:$V$333,'(backend scoring)'!$A$2:$A$333,"")</f>
        <v/>
      </c>
      <c r="C350" s="209" t="str">
        <f>IFERROR(VLOOKUP($B350,'Institution Evaluation'!$A$55:$F$345,2,0),IFERROR(VLOOKUP($B350,'Privacy Analyst Evaluation'!$A$46:$F$120,2,0),""))&amp;""</f>
        <v/>
      </c>
      <c r="D350" s="209" t="str">
        <f>IFERROR(VLOOKUP($B350,'Institution Evaluation'!$A$55:$F$345,3,0),IFERROR(VLOOKUP($B350,'Privacy Analyst Evaluation'!$A$46:$F$120,3,0),""))&amp;""</f>
        <v/>
      </c>
      <c r="E350" s="209" t="str">
        <f>IFERROR(VLOOKUP($B350,'Institution Evaluation'!$A$55:$F$345,4,0),IFERROR(VLOOKUP($B350,'Privacy Analyst Evaluation'!$A$46:$F$120,4,0),""))&amp;""</f>
        <v/>
      </c>
      <c r="F350" s="209" t="str">
        <f>IFERROR(VLOOKUP($B350,'Institution Evaluation'!$A$55:$F$345,6,0),IFERROR(VLOOKUP($B350,'Privacy Analyst Evaluation'!$A$46:$F$120,6,0),""))&amp;""</f>
        <v/>
      </c>
      <c r="G350" s="210"/>
      <c r="H350" s="209" t="str">
        <f>IFERROR(IF($H349+1&gt;'(backend scoring)'!$Q$335,"",$H349+1),"")</f>
        <v/>
      </c>
      <c r="I350" s="209" t="str">
        <f>_xlfn.XLOOKUP($H350,'(backend scoring)'!$S$2:$S$333,'(backend scoring)'!$A$2:$A$333,"")</f>
        <v/>
      </c>
      <c r="J350" s="209" t="str">
        <f>IFERROR(VLOOKUP($I350,'Institution Evaluation'!$A$55:$F$345,2,0),IFERROR(VLOOKUP($I350,'Privacy Analyst Evaluation'!$A$46:$F$120,2,0),""))</f>
        <v/>
      </c>
      <c r="K350" s="209" t="str">
        <f>IFERROR(VLOOKUP($I350,'Institution Evaluation'!$A$55:$F$345,3,0),IFERROR(VLOOKUP($I350,'Privacy Analyst Evaluation'!$A$46:$F$120,3,0),""))&amp;""</f>
        <v/>
      </c>
      <c r="L350" s="209" t="str">
        <f>IFERROR(VLOOKUP($I350,'Institution Evaluation'!$A$55:$F$345,4,0),IFERROR(VLOOKUP($I350,'Privacy Analyst Evaluation'!$A$46:$F$120,4,0),""))&amp;""</f>
        <v/>
      </c>
      <c r="M350" s="209" t="str">
        <f>IFERROR(VLOOKUP($I350,'Institution Evaluation'!$A$55:$F$345,6,0),IFERROR(VLOOKUP($I350,'Privacy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2">
      <c r="A351" s="209" t="str">
        <f>IFERROR(IF($A350+1&gt;'(backend scoring)'!$T$335,"",$A350+1),"")</f>
        <v/>
      </c>
      <c r="B351" s="209" t="str">
        <f>_xlfn.XLOOKUP($A351,'(backend scoring)'!$V$2:$V$333,'(backend scoring)'!$A$2:$A$333,"")</f>
        <v/>
      </c>
      <c r="C351" s="209" t="str">
        <f>IFERROR(VLOOKUP($B351,'Institution Evaluation'!$A$55:$F$345,2,0),IFERROR(VLOOKUP($B351,'Privacy Analyst Evaluation'!$A$46:$F$120,2,0),""))&amp;""</f>
        <v/>
      </c>
      <c r="D351" s="209" t="str">
        <f>IFERROR(VLOOKUP($B351,'Institution Evaluation'!$A$55:$F$345,3,0),IFERROR(VLOOKUP($B351,'Privacy Analyst Evaluation'!$A$46:$F$120,3,0),""))&amp;""</f>
        <v/>
      </c>
      <c r="E351" s="209" t="str">
        <f>IFERROR(VLOOKUP($B351,'Institution Evaluation'!$A$55:$F$345,4,0),IFERROR(VLOOKUP($B351,'Privacy Analyst Evaluation'!$A$46:$F$120,4,0),""))&amp;""</f>
        <v/>
      </c>
      <c r="F351" s="209" t="str">
        <f>IFERROR(VLOOKUP($B351,'Institution Evaluation'!$A$55:$F$345,6,0),IFERROR(VLOOKUP($B351,'Privacy Analyst Evaluation'!$A$46:$F$120,6,0),""))&amp;""</f>
        <v/>
      </c>
      <c r="G351" s="210"/>
      <c r="H351" s="209" t="str">
        <f>IFERROR(IF($H350+1&gt;'(backend scoring)'!$Q$335,"",$H350+1),"")</f>
        <v/>
      </c>
      <c r="I351" s="209" t="str">
        <f>_xlfn.XLOOKUP($H351,'(backend scoring)'!$S$2:$S$333,'(backend scoring)'!$A$2:$A$333,"")</f>
        <v/>
      </c>
      <c r="J351" s="209" t="str">
        <f>IFERROR(VLOOKUP($I351,'Institution Evaluation'!$A$55:$F$345,2,0),IFERROR(VLOOKUP($I351,'Privacy Analyst Evaluation'!$A$46:$F$120,2,0),""))</f>
        <v/>
      </c>
      <c r="K351" s="209" t="str">
        <f>IFERROR(VLOOKUP($I351,'Institution Evaluation'!$A$55:$F$345,3,0),IFERROR(VLOOKUP($I351,'Privacy Analyst Evaluation'!$A$46:$F$120,3,0),""))&amp;""</f>
        <v/>
      </c>
      <c r="L351" s="209" t="str">
        <f>IFERROR(VLOOKUP($I351,'Institution Evaluation'!$A$55:$F$345,4,0),IFERROR(VLOOKUP($I351,'Privacy Analyst Evaluation'!$A$46:$F$120,4,0),""))&amp;""</f>
        <v/>
      </c>
      <c r="M351" s="209" t="str">
        <f>IFERROR(VLOOKUP($I351,'Institution Evaluation'!$A$55:$F$345,6,0),IFERROR(VLOOKUP($I351,'Privacy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2">
      <c r="A352" s="209" t="str">
        <f>IFERROR(IF($A351+1&gt;'(backend scoring)'!$T$335,"",$A351+1),"")</f>
        <v/>
      </c>
      <c r="B352" s="209" t="str">
        <f>_xlfn.XLOOKUP($A352,'(backend scoring)'!$V$2:$V$333,'(backend scoring)'!$A$2:$A$333,"")</f>
        <v/>
      </c>
      <c r="C352" s="209" t="str">
        <f>IFERROR(VLOOKUP($B352,'Institution Evaluation'!$A$55:$F$345,2,0),IFERROR(VLOOKUP($B352,'Privacy Analyst Evaluation'!$A$46:$F$120,2,0),""))&amp;""</f>
        <v/>
      </c>
      <c r="D352" s="209" t="str">
        <f>IFERROR(VLOOKUP($B352,'Institution Evaluation'!$A$55:$F$345,3,0),IFERROR(VLOOKUP($B352,'Privacy Analyst Evaluation'!$A$46:$F$120,3,0),""))&amp;""</f>
        <v/>
      </c>
      <c r="E352" s="209" t="str">
        <f>IFERROR(VLOOKUP($B352,'Institution Evaluation'!$A$55:$F$345,4,0),IFERROR(VLOOKUP($B352,'Privacy Analyst Evaluation'!$A$46:$F$120,4,0),""))&amp;""</f>
        <v/>
      </c>
      <c r="F352" s="209" t="str">
        <f>IFERROR(VLOOKUP($B352,'Institution Evaluation'!$A$55:$F$345,6,0),IFERROR(VLOOKUP($B352,'Privacy Analyst Evaluation'!$A$46:$F$120,6,0),""))&amp;""</f>
        <v/>
      </c>
      <c r="G352" s="210"/>
      <c r="H352" s="209" t="str">
        <f>IFERROR(IF($H351+1&gt;'(backend scoring)'!$Q$335,"",$H351+1),"")</f>
        <v/>
      </c>
      <c r="I352" s="209" t="str">
        <f>_xlfn.XLOOKUP($H352,'(backend scoring)'!$S$2:$S$333,'(backend scoring)'!$A$2:$A$333,"")</f>
        <v/>
      </c>
      <c r="J352" s="209" t="str">
        <f>IFERROR(VLOOKUP($I352,'Institution Evaluation'!$A$55:$F$345,2,0),IFERROR(VLOOKUP($I352,'Privacy Analyst Evaluation'!$A$46:$F$120,2,0),""))</f>
        <v/>
      </c>
      <c r="K352" s="209" t="str">
        <f>IFERROR(VLOOKUP($I352,'Institution Evaluation'!$A$55:$F$345,3,0),IFERROR(VLOOKUP($I352,'Privacy Analyst Evaluation'!$A$46:$F$120,3,0),""))&amp;""</f>
        <v/>
      </c>
      <c r="L352" s="209" t="str">
        <f>IFERROR(VLOOKUP($I352,'Institution Evaluation'!$A$55:$F$345,4,0),IFERROR(VLOOKUP($I352,'Privacy Analyst Evaluation'!$A$46:$F$120,4,0),""))&amp;""</f>
        <v/>
      </c>
      <c r="M352" s="209" t="str">
        <f>IFERROR(VLOOKUP($I352,'Institution Evaluation'!$A$55:$F$345,6,0),IFERROR(VLOOKUP($I352,'Privacy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2">
      <c r="A353" s="209" t="str">
        <f>IFERROR(IF($A352+1&gt;'(backend scoring)'!$T$335,"",$A352+1),"")</f>
        <v/>
      </c>
      <c r="B353" s="209" t="str">
        <f>_xlfn.XLOOKUP($A353,'(backend scoring)'!$V$2:$V$333,'(backend scoring)'!$A$2:$A$333,"")</f>
        <v/>
      </c>
      <c r="C353" s="209" t="str">
        <f>IFERROR(VLOOKUP($B353,'Institution Evaluation'!$A$55:$F$345,2,0),IFERROR(VLOOKUP($B353,'Privacy Analyst Evaluation'!$A$46:$F$120,2,0),""))&amp;""</f>
        <v/>
      </c>
      <c r="D353" s="209" t="str">
        <f>IFERROR(VLOOKUP($B353,'Institution Evaluation'!$A$55:$F$345,3,0),IFERROR(VLOOKUP($B353,'Privacy Analyst Evaluation'!$A$46:$F$120,3,0),""))&amp;""</f>
        <v/>
      </c>
      <c r="E353" s="209" t="str">
        <f>IFERROR(VLOOKUP($B353,'Institution Evaluation'!$A$55:$F$345,4,0),IFERROR(VLOOKUP($B353,'Privacy Analyst Evaluation'!$A$46:$F$120,4,0),""))&amp;""</f>
        <v/>
      </c>
      <c r="F353" s="209" t="str">
        <f>IFERROR(VLOOKUP($B353,'Institution Evaluation'!$A$55:$F$345,6,0),IFERROR(VLOOKUP($B353,'Privacy Analyst Evaluation'!$A$46:$F$120,6,0),""))&amp;""</f>
        <v/>
      </c>
      <c r="G353" s="210"/>
      <c r="H353" s="209" t="str">
        <f>IFERROR(IF($H352+1&gt;'(backend scoring)'!$Q$335,"",$H352+1),"")</f>
        <v/>
      </c>
      <c r="I353" s="209" t="str">
        <f>_xlfn.XLOOKUP($H353,'(backend scoring)'!$S$2:$S$333,'(backend scoring)'!$A$2:$A$333,"")</f>
        <v/>
      </c>
      <c r="J353" s="209" t="str">
        <f>IFERROR(VLOOKUP($I353,'Institution Evaluation'!$A$55:$F$345,2,0),IFERROR(VLOOKUP($I353,'Privacy Analyst Evaluation'!$A$46:$F$120,2,0),""))</f>
        <v/>
      </c>
      <c r="K353" s="209" t="str">
        <f>IFERROR(VLOOKUP($I353,'Institution Evaluation'!$A$55:$F$345,3,0),IFERROR(VLOOKUP($I353,'Privacy Analyst Evaluation'!$A$46:$F$120,3,0),""))&amp;""</f>
        <v/>
      </c>
      <c r="L353" s="209" t="str">
        <f>IFERROR(VLOOKUP($I353,'Institution Evaluation'!$A$55:$F$345,4,0),IFERROR(VLOOKUP($I353,'Privacy Analyst Evaluation'!$A$46:$F$120,4,0),""))&amp;""</f>
        <v/>
      </c>
      <c r="M353" s="209" t="str">
        <f>IFERROR(VLOOKUP($I353,'Institution Evaluation'!$A$55:$F$345,6,0),IFERROR(VLOOKUP($I353,'Privacy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2">
      <c r="A354" s="209" t="str">
        <f>IFERROR(IF($A353+1&gt;'(backend scoring)'!$T$335,"",$A353+1),"")</f>
        <v/>
      </c>
      <c r="B354" s="209" t="str">
        <f>_xlfn.XLOOKUP($A354,'(backend scoring)'!$V$2:$V$333,'(backend scoring)'!$A$2:$A$333,"")</f>
        <v/>
      </c>
      <c r="C354" s="209" t="str">
        <f>IFERROR(VLOOKUP($B354,'Institution Evaluation'!$A$55:$F$345,2,0),IFERROR(VLOOKUP($B354,'Privacy Analyst Evaluation'!$A$46:$F$120,2,0),""))&amp;""</f>
        <v/>
      </c>
      <c r="D354" s="209" t="str">
        <f>IFERROR(VLOOKUP($B354,'Institution Evaluation'!$A$55:$F$345,3,0),IFERROR(VLOOKUP($B354,'Privacy Analyst Evaluation'!$A$46:$F$120,3,0),""))&amp;""</f>
        <v/>
      </c>
      <c r="E354" s="209" t="str">
        <f>IFERROR(VLOOKUP($B354,'Institution Evaluation'!$A$55:$F$345,4,0),IFERROR(VLOOKUP($B354,'Privacy Analyst Evaluation'!$A$46:$F$120,4,0),""))&amp;""</f>
        <v/>
      </c>
      <c r="F354" s="209" t="str">
        <f>IFERROR(VLOOKUP($B354,'Institution Evaluation'!$A$55:$F$345,6,0),IFERROR(VLOOKUP($B354,'Privacy Analyst Evaluation'!$A$46:$F$120,6,0),""))&amp;""</f>
        <v/>
      </c>
      <c r="G354" s="210"/>
      <c r="H354" s="209" t="str">
        <f>IFERROR(IF($H353+1&gt;'(backend scoring)'!$Q$335,"",$H353+1),"")</f>
        <v/>
      </c>
      <c r="I354" s="209" t="str">
        <f>_xlfn.XLOOKUP($H354,'(backend scoring)'!$S$2:$S$333,'(backend scoring)'!$A$2:$A$333,"")</f>
        <v/>
      </c>
      <c r="J354" s="209" t="str">
        <f>IFERROR(VLOOKUP($I354,'Institution Evaluation'!$A$55:$F$345,2,0),IFERROR(VLOOKUP($I354,'Privacy Analyst Evaluation'!$A$46:$F$120,2,0),""))</f>
        <v/>
      </c>
      <c r="K354" s="209" t="str">
        <f>IFERROR(VLOOKUP($I354,'Institution Evaluation'!$A$55:$F$345,3,0),IFERROR(VLOOKUP($I354,'Privacy Analyst Evaluation'!$A$46:$F$120,3,0),""))&amp;""</f>
        <v/>
      </c>
      <c r="L354" s="209" t="str">
        <f>IFERROR(VLOOKUP($I354,'Institution Evaluation'!$A$55:$F$345,4,0),IFERROR(VLOOKUP($I354,'Privacy Analyst Evaluation'!$A$46:$F$120,4,0),""))&amp;""</f>
        <v/>
      </c>
      <c r="M354" s="209" t="str">
        <f>IFERROR(VLOOKUP($I354,'Institution Evaluation'!$A$55:$F$345,6,0),IFERROR(VLOOKUP($I354,'Privacy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2">
      <c r="A355" s="209" t="str">
        <f>IFERROR(IF($A354+1&gt;'(backend scoring)'!$T$335,"",$A354+1),"")</f>
        <v/>
      </c>
      <c r="B355" s="209" t="str">
        <f>_xlfn.XLOOKUP($A355,'(backend scoring)'!$V$2:$V$333,'(backend scoring)'!$A$2:$A$333,"")</f>
        <v/>
      </c>
      <c r="C355" s="209" t="str">
        <f>IFERROR(VLOOKUP($B355,'Institution Evaluation'!$A$55:$F$345,2,0),IFERROR(VLOOKUP($B355,'Privacy Analyst Evaluation'!$A$46:$F$120,2,0),""))&amp;""</f>
        <v/>
      </c>
      <c r="D355" s="209" t="str">
        <f>IFERROR(VLOOKUP($B355,'Institution Evaluation'!$A$55:$F$345,3,0),IFERROR(VLOOKUP($B355,'Privacy Analyst Evaluation'!$A$46:$F$120,3,0),""))&amp;""</f>
        <v/>
      </c>
      <c r="E355" s="209" t="str">
        <f>IFERROR(VLOOKUP($B355,'Institution Evaluation'!$A$55:$F$345,4,0),IFERROR(VLOOKUP($B355,'Privacy Analyst Evaluation'!$A$46:$F$120,4,0),""))&amp;""</f>
        <v/>
      </c>
      <c r="F355" s="209" t="str">
        <f>IFERROR(VLOOKUP($B355,'Institution Evaluation'!$A$55:$F$345,6,0),IFERROR(VLOOKUP($B355,'Privacy Analyst Evaluation'!$A$46:$F$120,6,0),""))&amp;""</f>
        <v/>
      </c>
      <c r="G355" s="210"/>
      <c r="H355" s="209" t="str">
        <f>IFERROR(IF($H354+1&gt;'(backend scoring)'!$Q$335,"",$H354+1),"")</f>
        <v/>
      </c>
      <c r="I355" s="209" t="str">
        <f>_xlfn.XLOOKUP($H355,'(backend scoring)'!$S$2:$S$333,'(backend scoring)'!$A$2:$A$333,"")</f>
        <v/>
      </c>
      <c r="J355" s="209" t="str">
        <f>IFERROR(VLOOKUP($I355,'Institution Evaluation'!$A$55:$F$345,2,0),IFERROR(VLOOKUP($I355,'Privacy Analyst Evaluation'!$A$46:$F$120,2,0),""))</f>
        <v/>
      </c>
      <c r="K355" s="209" t="str">
        <f>IFERROR(VLOOKUP($I355,'Institution Evaluation'!$A$55:$F$345,3,0),IFERROR(VLOOKUP($I355,'Privacy Analyst Evaluation'!$A$46:$F$120,3,0),""))&amp;""</f>
        <v/>
      </c>
      <c r="L355" s="209" t="str">
        <f>IFERROR(VLOOKUP($I355,'Institution Evaluation'!$A$55:$F$345,4,0),IFERROR(VLOOKUP($I355,'Privacy Analyst Evaluation'!$A$46:$F$120,4,0),""))&amp;""</f>
        <v/>
      </c>
      <c r="M355" s="209" t="str">
        <f>IFERROR(VLOOKUP($I355,'Institution Evaluation'!$A$55:$F$345,6,0),IFERROR(VLOOKUP($I355,'Privacy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2">
      <c r="A356" s="209" t="str">
        <f>IFERROR(IF($A355+1&gt;'(backend scoring)'!$T$335,"",$A355+1),"")</f>
        <v/>
      </c>
      <c r="B356" s="209" t="str">
        <f>_xlfn.XLOOKUP($A356,'(backend scoring)'!$V$2:$V$333,'(backend scoring)'!$A$2:$A$333,"")</f>
        <v/>
      </c>
      <c r="C356" s="209" t="str">
        <f>IFERROR(VLOOKUP($B356,'Institution Evaluation'!$A$55:$F$345,2,0),IFERROR(VLOOKUP($B356,'Privacy Analyst Evaluation'!$A$46:$F$120,2,0),""))&amp;""</f>
        <v/>
      </c>
      <c r="D356" s="209" t="str">
        <f>IFERROR(VLOOKUP($B356,'Institution Evaluation'!$A$55:$F$345,3,0),IFERROR(VLOOKUP($B356,'Privacy Analyst Evaluation'!$A$46:$F$120,3,0),""))&amp;""</f>
        <v/>
      </c>
      <c r="E356" s="209" t="str">
        <f>IFERROR(VLOOKUP($B356,'Institution Evaluation'!$A$55:$F$345,4,0),IFERROR(VLOOKUP($B356,'Privacy Analyst Evaluation'!$A$46:$F$120,4,0),""))&amp;""</f>
        <v/>
      </c>
      <c r="F356" s="209" t="str">
        <f>IFERROR(VLOOKUP($B356,'Institution Evaluation'!$A$55:$F$345,6,0),IFERROR(VLOOKUP($B356,'Privacy Analyst Evaluation'!$A$46:$F$120,6,0),""))&amp;""</f>
        <v/>
      </c>
      <c r="G356" s="210"/>
      <c r="H356" s="209" t="str">
        <f>IFERROR(IF($H355+1&gt;'(backend scoring)'!$Q$335,"",$H355+1),"")</f>
        <v/>
      </c>
      <c r="I356" s="209" t="str">
        <f>_xlfn.XLOOKUP($H356,'(backend scoring)'!$S$2:$S$333,'(backend scoring)'!$A$2:$A$333,"")</f>
        <v/>
      </c>
      <c r="J356" s="209" t="str">
        <f>IFERROR(VLOOKUP($I356,'Institution Evaluation'!$A$55:$F$345,2,0),IFERROR(VLOOKUP($I356,'Privacy Analyst Evaluation'!$A$46:$F$120,2,0),""))</f>
        <v/>
      </c>
      <c r="K356" s="209" t="str">
        <f>IFERROR(VLOOKUP($I356,'Institution Evaluation'!$A$55:$F$345,3,0),IFERROR(VLOOKUP($I356,'Privacy Analyst Evaluation'!$A$46:$F$120,3,0),""))&amp;""</f>
        <v/>
      </c>
      <c r="L356" s="209" t="str">
        <f>IFERROR(VLOOKUP($I356,'Institution Evaluation'!$A$55:$F$345,4,0),IFERROR(VLOOKUP($I356,'Privacy Analyst Evaluation'!$A$46:$F$120,4,0),""))&amp;""</f>
        <v/>
      </c>
      <c r="M356" s="209" t="str">
        <f>IFERROR(VLOOKUP($I356,'Institution Evaluation'!$A$55:$F$345,6,0),IFERROR(VLOOKUP($I356,'Privacy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2">
      <c r="A357" s="209" t="str">
        <f>IFERROR(IF($A356+1&gt;'(backend scoring)'!$T$335,"",$A356+1),"")</f>
        <v/>
      </c>
      <c r="B357" s="209" t="str">
        <f>_xlfn.XLOOKUP($A357,'(backend scoring)'!$V$2:$V$333,'(backend scoring)'!$A$2:$A$333,"")</f>
        <v/>
      </c>
      <c r="C357" s="209" t="str">
        <f>IFERROR(VLOOKUP($B357,'Institution Evaluation'!$A$55:$F$345,2,0),IFERROR(VLOOKUP($B357,'Privacy Analyst Evaluation'!$A$46:$F$120,2,0),""))&amp;""</f>
        <v/>
      </c>
      <c r="D357" s="209" t="str">
        <f>IFERROR(VLOOKUP($B357,'Institution Evaluation'!$A$55:$F$345,3,0),IFERROR(VLOOKUP($B357,'Privacy Analyst Evaluation'!$A$46:$F$120,3,0),""))&amp;""</f>
        <v/>
      </c>
      <c r="E357" s="209" t="str">
        <f>IFERROR(VLOOKUP($B357,'Institution Evaluation'!$A$55:$F$345,4,0),IFERROR(VLOOKUP($B357,'Privacy Analyst Evaluation'!$A$46:$F$120,4,0),""))&amp;""</f>
        <v/>
      </c>
      <c r="F357" s="209" t="str">
        <f>IFERROR(VLOOKUP($B357,'Institution Evaluation'!$A$55:$F$345,6,0),IFERROR(VLOOKUP($B357,'Privacy Analyst Evaluation'!$A$46:$F$120,6,0),""))&amp;""</f>
        <v/>
      </c>
      <c r="G357" s="210"/>
      <c r="H357" s="209" t="str">
        <f>IFERROR(IF($H356+1&gt;'(backend scoring)'!$Q$335,"",$H356+1),"")</f>
        <v/>
      </c>
      <c r="I357" s="209" t="str">
        <f>_xlfn.XLOOKUP($H357,'(backend scoring)'!$S$2:$S$333,'(backend scoring)'!$A$2:$A$333,"")</f>
        <v/>
      </c>
      <c r="J357" s="209" t="str">
        <f>IFERROR(VLOOKUP($I357,'Institution Evaluation'!$A$55:$F$345,2,0),IFERROR(VLOOKUP($I357,'Privacy Analyst Evaluation'!$A$46:$F$120,2,0),""))</f>
        <v/>
      </c>
      <c r="K357" s="209" t="str">
        <f>IFERROR(VLOOKUP($I357,'Institution Evaluation'!$A$55:$F$345,3,0),IFERROR(VLOOKUP($I357,'Privacy Analyst Evaluation'!$A$46:$F$120,3,0),""))&amp;""</f>
        <v/>
      </c>
      <c r="L357" s="209" t="str">
        <f>IFERROR(VLOOKUP($I357,'Institution Evaluation'!$A$55:$F$345,4,0),IFERROR(VLOOKUP($I357,'Privacy Analyst Evaluation'!$A$46:$F$120,4,0),""))&amp;""</f>
        <v/>
      </c>
      <c r="M357" s="209" t="str">
        <f>IFERROR(VLOOKUP($I357,'Institution Evaluation'!$A$55:$F$345,6,0),IFERROR(VLOOKUP($I357,'Privacy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2">
      <c r="A358" s="209" t="str">
        <f>IFERROR(IF($A357+1&gt;'(backend scoring)'!$T$335,"",$A357+1),"")</f>
        <v/>
      </c>
      <c r="B358" s="209" t="str">
        <f>_xlfn.XLOOKUP($A358,'(backend scoring)'!$V$2:$V$333,'(backend scoring)'!$A$2:$A$333,"")</f>
        <v/>
      </c>
      <c r="C358" s="209" t="str">
        <f>IFERROR(VLOOKUP($B358,'Institution Evaluation'!$A$55:$F$345,2,0),IFERROR(VLOOKUP($B358,'Privacy Analyst Evaluation'!$A$46:$F$120,2,0),""))&amp;""</f>
        <v/>
      </c>
      <c r="D358" s="209" t="str">
        <f>IFERROR(VLOOKUP($B358,'Institution Evaluation'!$A$55:$F$345,3,0),IFERROR(VLOOKUP($B358,'Privacy Analyst Evaluation'!$A$46:$F$120,3,0),""))&amp;""</f>
        <v/>
      </c>
      <c r="E358" s="209" t="str">
        <f>IFERROR(VLOOKUP($B358,'Institution Evaluation'!$A$55:$F$345,4,0),IFERROR(VLOOKUP($B358,'Privacy Analyst Evaluation'!$A$46:$F$120,4,0),""))&amp;""</f>
        <v/>
      </c>
      <c r="F358" s="209" t="str">
        <f>IFERROR(VLOOKUP($B358,'Institution Evaluation'!$A$55:$F$345,6,0),IFERROR(VLOOKUP($B358,'Privacy Analyst Evaluation'!$A$46:$F$120,6,0),""))&amp;""</f>
        <v/>
      </c>
      <c r="G358" s="210"/>
      <c r="H358" s="209" t="str">
        <f>IFERROR(IF($H357+1&gt;'(backend scoring)'!$Q$335,"",$H357+1),"")</f>
        <v/>
      </c>
      <c r="I358" s="209" t="str">
        <f>_xlfn.XLOOKUP($H358,'(backend scoring)'!$S$2:$S$333,'(backend scoring)'!$A$2:$A$333,"")</f>
        <v/>
      </c>
      <c r="J358" s="209" t="str">
        <f>IFERROR(VLOOKUP($I358,'Institution Evaluation'!$A$55:$F$345,2,0),IFERROR(VLOOKUP($I358,'Privacy Analyst Evaluation'!$A$46:$F$120,2,0),""))</f>
        <v/>
      </c>
      <c r="K358" s="209" t="str">
        <f>IFERROR(VLOOKUP($I358,'Institution Evaluation'!$A$55:$F$345,3,0),IFERROR(VLOOKUP($I358,'Privacy Analyst Evaluation'!$A$46:$F$120,3,0),""))&amp;""</f>
        <v/>
      </c>
      <c r="L358" s="209" t="str">
        <f>IFERROR(VLOOKUP($I358,'Institution Evaluation'!$A$55:$F$345,4,0),IFERROR(VLOOKUP($I358,'Privacy Analyst Evaluation'!$A$46:$F$120,4,0),""))&amp;""</f>
        <v/>
      </c>
      <c r="M358" s="209" t="str">
        <f>IFERROR(VLOOKUP($I358,'Institution Evaluation'!$A$55:$F$345,6,0),IFERROR(VLOOKUP($I358,'Privacy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2">
      <c r="A359" s="209" t="str">
        <f>IFERROR(IF($A358+1&gt;'(backend scoring)'!$T$335,"",$A358+1),"")</f>
        <v/>
      </c>
      <c r="B359" s="209" t="str">
        <f>_xlfn.XLOOKUP($A359,'(backend scoring)'!$V$2:$V$333,'(backend scoring)'!$A$2:$A$333,"")</f>
        <v/>
      </c>
      <c r="C359" s="209" t="str">
        <f>IFERROR(VLOOKUP($B359,'Institution Evaluation'!$A$55:$F$345,2,0),IFERROR(VLOOKUP($B359,'Privacy Analyst Evaluation'!$A$46:$F$120,2,0),""))&amp;""</f>
        <v/>
      </c>
      <c r="D359" s="209" t="str">
        <f>IFERROR(VLOOKUP($B359,'Institution Evaluation'!$A$55:$F$345,3,0),IFERROR(VLOOKUP($B359,'Privacy Analyst Evaluation'!$A$46:$F$120,3,0),""))&amp;""</f>
        <v/>
      </c>
      <c r="E359" s="209" t="str">
        <f>IFERROR(VLOOKUP($B359,'Institution Evaluation'!$A$55:$F$345,4,0),IFERROR(VLOOKUP($B359,'Privacy Analyst Evaluation'!$A$46:$F$120,4,0),""))&amp;""</f>
        <v/>
      </c>
      <c r="F359" s="209" t="str">
        <f>IFERROR(VLOOKUP($B359,'Institution Evaluation'!$A$55:$F$345,6,0),IFERROR(VLOOKUP($B359,'Privacy Analyst Evaluation'!$A$46:$F$120,6,0),""))&amp;""</f>
        <v/>
      </c>
      <c r="G359" s="210"/>
      <c r="H359" s="209" t="str">
        <f>IFERROR(IF($H358+1&gt;'(backend scoring)'!$Q$335,"",$H358+1),"")</f>
        <v/>
      </c>
      <c r="I359" s="209" t="str">
        <f>_xlfn.XLOOKUP($H359,'(backend scoring)'!$S$2:$S$333,'(backend scoring)'!$A$2:$A$333,"")</f>
        <v/>
      </c>
      <c r="J359" s="209" t="str">
        <f>IFERROR(VLOOKUP($I359,'Institution Evaluation'!$A$55:$F$345,2,0),IFERROR(VLOOKUP($I359,'Privacy Analyst Evaluation'!$A$46:$F$120,2,0),""))</f>
        <v/>
      </c>
      <c r="K359" s="209" t="str">
        <f>IFERROR(VLOOKUP($I359,'Institution Evaluation'!$A$55:$F$345,3,0),IFERROR(VLOOKUP($I359,'Privacy Analyst Evaluation'!$A$46:$F$120,3,0),""))&amp;""</f>
        <v/>
      </c>
      <c r="L359" s="209" t="str">
        <f>IFERROR(VLOOKUP($I359,'Institution Evaluation'!$A$55:$F$345,4,0),IFERROR(VLOOKUP($I359,'Privacy Analyst Evaluation'!$A$46:$F$120,4,0),""))&amp;""</f>
        <v/>
      </c>
      <c r="M359" s="209" t="str">
        <f>IFERROR(VLOOKUP($I359,'Institution Evaluation'!$A$55:$F$345,6,0),IFERROR(VLOOKUP($I359,'Privacy Analyst Evaluation'!$A$46:$F$120,6,0),""))&amp;""</f>
        <v/>
      </c>
    </row>
    <row r="360" spans="1:338" x14ac:dyDescent="0.2">
      <c r="A360" s="209" t="str">
        <f>IFERROR(IF($A359+1&gt;'(backend scoring)'!$T$335,"",$A359+1),"")</f>
        <v/>
      </c>
      <c r="B360" s="209" t="str">
        <f>_xlfn.XLOOKUP($A360,'(backend scoring)'!$V$2:$V$333,'(backend scoring)'!$A$2:$A$333,"")</f>
        <v/>
      </c>
      <c r="C360" s="209" t="str">
        <f>IFERROR(VLOOKUP($B360,'Institution Evaluation'!$A$55:$F$345,2,0),IFERROR(VLOOKUP($B360,'Privacy Analyst Evaluation'!$A$46:$F$120,2,0),""))&amp;""</f>
        <v/>
      </c>
      <c r="D360" s="209" t="str">
        <f>IFERROR(VLOOKUP($B360,'Institution Evaluation'!$A$55:$F$345,3,0),IFERROR(VLOOKUP($B360,'Privacy Analyst Evaluation'!$A$46:$F$120,3,0),""))&amp;""</f>
        <v/>
      </c>
      <c r="E360" s="209" t="str">
        <f>IFERROR(VLOOKUP($B360,'Institution Evaluation'!$A$55:$F$345,4,0),IFERROR(VLOOKUP($B360,'Privacy Analyst Evaluation'!$A$46:$F$120,4,0),""))&amp;""</f>
        <v/>
      </c>
      <c r="F360" s="209" t="str">
        <f>IFERROR(VLOOKUP($B360,'Institution Evaluation'!$A$55:$F$345,6,0),IFERROR(VLOOKUP($B360,'Privacy Analyst Evaluation'!$A$46:$F$120,6,0),""))&amp;""</f>
        <v/>
      </c>
      <c r="G360" s="210"/>
      <c r="H360" s="209" t="str">
        <f>IFERROR(IF($H359+1&gt;'(backend scoring)'!$Q$335,"",$H359+1),"")</f>
        <v/>
      </c>
      <c r="I360" s="209" t="str">
        <f>_xlfn.XLOOKUP($H360,'(backend scoring)'!$S$2:$S$333,'(backend scoring)'!$A$2:$A$333,"")</f>
        <v/>
      </c>
      <c r="J360" s="209" t="str">
        <f>IFERROR(VLOOKUP($I360,'Institution Evaluation'!$A$55:$F$345,2,0),IFERROR(VLOOKUP($I360,'Privacy Analyst Evaluation'!$A$46:$F$120,2,0),""))</f>
        <v/>
      </c>
      <c r="K360" s="209" t="str">
        <f>IFERROR(VLOOKUP($I360,'Institution Evaluation'!$A$55:$F$345,3,0),IFERROR(VLOOKUP($I360,'Privacy Analyst Evaluation'!$A$46:$F$120,3,0),""))&amp;""</f>
        <v/>
      </c>
      <c r="L360" s="209" t="str">
        <f>IFERROR(VLOOKUP($I360,'Institution Evaluation'!$A$55:$F$345,4,0),IFERROR(VLOOKUP($I360,'Privacy Analyst Evaluation'!$A$46:$F$120,4,0),""))&amp;""</f>
        <v/>
      </c>
      <c r="M360" s="209" t="str">
        <f>IFERROR(VLOOKUP($I360,'Institution Evaluation'!$A$55:$F$345,6,0),IFERROR(VLOOKUP($I360,'Privacy Analyst Evaluation'!$A$46:$F$120,6,0),""))&amp;""</f>
        <v/>
      </c>
    </row>
    <row r="361" spans="1:338" x14ac:dyDescent="0.2">
      <c r="A361" s="209" t="str">
        <f>IFERROR(IF($A360+1&gt;'(backend scoring)'!$T$335,"",$A360+1),"")</f>
        <v/>
      </c>
      <c r="B361" s="209" t="str">
        <f>_xlfn.XLOOKUP($A361,'(backend scoring)'!$V$2:$V$333,'(backend scoring)'!$A$2:$A$333,"")</f>
        <v/>
      </c>
      <c r="C361" s="209" t="str">
        <f>IFERROR(VLOOKUP($B361,'Institution Evaluation'!$A$55:$F$345,2,0),IFERROR(VLOOKUP($B361,'Privacy Analyst Evaluation'!$A$46:$F$120,2,0),""))&amp;""</f>
        <v/>
      </c>
      <c r="D361" s="209" t="str">
        <f>IFERROR(VLOOKUP($B361,'Institution Evaluation'!$A$55:$F$345,3,0),IFERROR(VLOOKUP($B361,'Privacy Analyst Evaluation'!$A$46:$F$120,3,0),""))&amp;""</f>
        <v/>
      </c>
      <c r="E361" s="209" t="str">
        <f>IFERROR(VLOOKUP($B361,'Institution Evaluation'!$A$55:$F$345,4,0),IFERROR(VLOOKUP($B361,'Privacy Analyst Evaluation'!$A$46:$F$120,4,0),""))&amp;""</f>
        <v/>
      </c>
      <c r="F361" s="209" t="str">
        <f>IFERROR(VLOOKUP($B361,'Institution Evaluation'!$A$55:$F$345,6,0),IFERROR(VLOOKUP($B361,'Privacy Analyst Evaluation'!$A$46:$F$120,6,0),""))&amp;""</f>
        <v/>
      </c>
      <c r="G361" s="210"/>
      <c r="H361" s="209" t="str">
        <f>IFERROR(IF($H360+1&gt;'(backend scoring)'!$Q$335,"",$H360+1),"")</f>
        <v/>
      </c>
      <c r="I361" s="209" t="str">
        <f>_xlfn.XLOOKUP($H361,'(backend scoring)'!$S$2:$S$333,'(backend scoring)'!$A$2:$A$333,"")</f>
        <v/>
      </c>
      <c r="J361" s="209" t="str">
        <f>IFERROR(VLOOKUP($I361,'Institution Evaluation'!$A$55:$F$345,2,0),IFERROR(VLOOKUP($I361,'Privacy Analyst Evaluation'!$A$46:$F$120,2,0),""))</f>
        <v/>
      </c>
      <c r="K361" s="209" t="str">
        <f>IFERROR(VLOOKUP($I361,'Institution Evaluation'!$A$55:$F$345,3,0),IFERROR(VLOOKUP($I361,'Privacy Analyst Evaluation'!$A$46:$F$120,3,0),""))&amp;""</f>
        <v/>
      </c>
      <c r="L361" s="209" t="str">
        <f>IFERROR(VLOOKUP($I361,'Institution Evaluation'!$A$55:$F$345,4,0),IFERROR(VLOOKUP($I361,'Privacy Analyst Evaluation'!$A$46:$F$120,4,0),""))&amp;""</f>
        <v/>
      </c>
      <c r="M361" s="209" t="str">
        <f>IFERROR(VLOOKUP($I361,'Institution Evaluation'!$A$55:$F$345,6,0),IFERROR(VLOOKUP($I361,'Privacy Analyst Evaluation'!$A$46:$F$120,6,0),""))&amp;""</f>
        <v/>
      </c>
    </row>
    <row r="362" spans="1:338" x14ac:dyDescent="0.2">
      <c r="A362" s="209" t="str">
        <f>IFERROR(IF($A361+1&gt;'(backend scoring)'!$T$335,"",$A361+1),"")</f>
        <v/>
      </c>
      <c r="B362" s="209" t="str">
        <f>_xlfn.XLOOKUP($A362,'(backend scoring)'!$V$2:$V$333,'(backend scoring)'!$A$2:$A$333,"")</f>
        <v/>
      </c>
      <c r="C362" s="209" t="str">
        <f>IFERROR(VLOOKUP($B362,'Institution Evaluation'!$A$55:$F$345,2,0),IFERROR(VLOOKUP($B362,'Privacy Analyst Evaluation'!$A$46:$F$120,2,0),""))&amp;""</f>
        <v/>
      </c>
      <c r="D362" s="209" t="str">
        <f>IFERROR(VLOOKUP($B362,'Institution Evaluation'!$A$55:$F$345,3,0),IFERROR(VLOOKUP($B362,'Privacy Analyst Evaluation'!$A$46:$F$120,3,0),""))&amp;""</f>
        <v/>
      </c>
      <c r="E362" s="209" t="str">
        <f>IFERROR(VLOOKUP($B362,'Institution Evaluation'!$A$55:$F$345,4,0),IFERROR(VLOOKUP($B362,'Privacy Analyst Evaluation'!$A$46:$F$120,4,0),""))&amp;""</f>
        <v/>
      </c>
      <c r="F362" s="209" t="str">
        <f>IFERROR(VLOOKUP($B362,'Institution Evaluation'!$A$55:$F$345,6,0),IFERROR(VLOOKUP($B362,'Privacy Analyst Evaluation'!$A$46:$F$120,6,0),""))&amp;""</f>
        <v/>
      </c>
      <c r="G362" s="210"/>
      <c r="H362" s="209" t="str">
        <f>IFERROR(IF($H361+1&gt;'(backend scoring)'!$Q$335,"",$H361+1),"")</f>
        <v/>
      </c>
      <c r="I362" s="209" t="str">
        <f>_xlfn.XLOOKUP($H362,'(backend scoring)'!$S$2:$S$333,'(backend scoring)'!$A$2:$A$333,"")</f>
        <v/>
      </c>
      <c r="J362" s="209" t="str">
        <f>IFERROR(VLOOKUP($I362,'Institution Evaluation'!$A$55:$F$345,2,0),IFERROR(VLOOKUP($I362,'Privacy Analyst Evaluation'!$A$46:$F$120,2,0),""))</f>
        <v/>
      </c>
      <c r="K362" s="209" t="str">
        <f>IFERROR(VLOOKUP($I362,'Institution Evaluation'!$A$55:$F$345,3,0),IFERROR(VLOOKUP($I362,'Privacy Analyst Evaluation'!$A$46:$F$120,3,0),""))&amp;""</f>
        <v/>
      </c>
      <c r="L362" s="209" t="str">
        <f>IFERROR(VLOOKUP($I362,'Institution Evaluation'!$A$55:$F$345,4,0),IFERROR(VLOOKUP($I362,'Privacy Analyst Evaluation'!$A$46:$F$120,4,0),""))&amp;""</f>
        <v/>
      </c>
      <c r="M362" s="209" t="str">
        <f>IFERROR(VLOOKUP($I362,'Institution Evaluation'!$A$55:$F$345,6,0),IFERROR(VLOOKUP($I362,'Privacy Analyst Evaluation'!$A$46:$F$120,6,0),""))&amp;""</f>
        <v/>
      </c>
    </row>
    <row r="363" spans="1:338" x14ac:dyDescent="0.2">
      <c r="A363" s="209" t="str">
        <f>IFERROR(IF($A362+1&gt;'(backend scoring)'!$T$335,"",$A362+1),"")</f>
        <v/>
      </c>
      <c r="B363" s="209" t="str">
        <f>_xlfn.XLOOKUP($A363,'(backend scoring)'!$V$2:$V$333,'(backend scoring)'!$A$2:$A$333,"")</f>
        <v/>
      </c>
      <c r="C363" s="209" t="str">
        <f>IFERROR(VLOOKUP($B363,'Institution Evaluation'!$A$55:$F$345,2,0),IFERROR(VLOOKUP($B363,'Privacy Analyst Evaluation'!$A$46:$F$120,2,0),""))&amp;""</f>
        <v/>
      </c>
      <c r="D363" s="209" t="str">
        <f>IFERROR(VLOOKUP($B363,'Institution Evaluation'!$A$55:$F$345,3,0),IFERROR(VLOOKUP($B363,'Privacy Analyst Evaluation'!$A$46:$F$120,3,0),""))&amp;""</f>
        <v/>
      </c>
      <c r="E363" s="209" t="str">
        <f>IFERROR(VLOOKUP($B363,'Institution Evaluation'!$A$55:$F$345,4,0),IFERROR(VLOOKUP($B363,'Privacy Analyst Evaluation'!$A$46:$F$120,4,0),""))&amp;""</f>
        <v/>
      </c>
      <c r="F363" s="209" t="str">
        <f>IFERROR(VLOOKUP($B363,'Institution Evaluation'!$A$55:$F$345,6,0),IFERROR(VLOOKUP($B363,'Privacy Analyst Evaluation'!$A$46:$F$120,6,0),""))&amp;""</f>
        <v/>
      </c>
      <c r="G363" s="210"/>
      <c r="H363" s="209" t="str">
        <f>IFERROR(IF($H362+1&gt;'(backend scoring)'!$Q$335,"",$H362+1),"")</f>
        <v/>
      </c>
      <c r="I363" s="209" t="str">
        <f>_xlfn.XLOOKUP($H363,'(backend scoring)'!$S$2:$S$333,'(backend scoring)'!$A$2:$A$333,"")</f>
        <v/>
      </c>
      <c r="J363" s="209" t="str">
        <f>IFERROR(VLOOKUP($I363,'Institution Evaluation'!$A$55:$F$345,2,0),IFERROR(VLOOKUP($I363,'Privacy Analyst Evaluation'!$A$46:$F$120,2,0),""))</f>
        <v/>
      </c>
      <c r="K363" s="209" t="str">
        <f>IFERROR(VLOOKUP($I363,'Institution Evaluation'!$A$55:$F$345,3,0),IFERROR(VLOOKUP($I363,'Privacy Analyst Evaluation'!$A$46:$F$120,3,0),""))&amp;""</f>
        <v/>
      </c>
      <c r="L363" s="209" t="str">
        <f>IFERROR(VLOOKUP($I363,'Institution Evaluation'!$A$55:$F$345,4,0),IFERROR(VLOOKUP($I363,'Privacy Analyst Evaluation'!$A$46:$F$120,4,0),""))&amp;""</f>
        <v/>
      </c>
      <c r="M363" s="209" t="str">
        <f>IFERROR(VLOOKUP($I363,'Institution Evaluation'!$A$55:$F$345,6,0),IFERROR(VLOOKUP($I363,'Privacy Analyst Evaluation'!$A$46:$F$120,6,0),""))&amp;""</f>
        <v/>
      </c>
    </row>
    <row r="364" spans="1:338" x14ac:dyDescent="0.2">
      <c r="A364" s="209" t="str">
        <f>IFERROR(IF($A363+1&gt;'(backend scoring)'!$T$335,"",$A363+1),"")</f>
        <v/>
      </c>
      <c r="B364" s="209" t="str">
        <f>_xlfn.XLOOKUP($A364,'(backend scoring)'!$V$2:$V$333,'(backend scoring)'!$A$2:$A$333,"")</f>
        <v/>
      </c>
      <c r="C364" s="209" t="str">
        <f>IFERROR(VLOOKUP($B364,'Institution Evaluation'!$A$55:$F$345,2,0),IFERROR(VLOOKUP($B364,'Privacy Analyst Evaluation'!$A$46:$F$120,2,0),""))&amp;""</f>
        <v/>
      </c>
      <c r="D364" s="209" t="str">
        <f>IFERROR(VLOOKUP($B364,'Institution Evaluation'!$A$55:$F$345,3,0),IFERROR(VLOOKUP($B364,'Privacy Analyst Evaluation'!$A$46:$F$120,3,0),""))&amp;""</f>
        <v/>
      </c>
      <c r="E364" s="209" t="str">
        <f>IFERROR(VLOOKUP($B364,'Institution Evaluation'!$A$55:$F$345,4,0),IFERROR(VLOOKUP($B364,'Privacy Analyst Evaluation'!$A$46:$F$120,4,0),""))&amp;""</f>
        <v/>
      </c>
      <c r="F364" s="209" t="str">
        <f>IFERROR(VLOOKUP($B364,'Institution Evaluation'!$A$55:$F$345,6,0),IFERROR(VLOOKUP($B364,'Privacy Analyst Evaluation'!$A$46:$F$120,6,0),""))&amp;""</f>
        <v/>
      </c>
      <c r="G364" s="210"/>
      <c r="H364" s="209" t="str">
        <f>IFERROR(IF($H363+1&gt;'(backend scoring)'!$Q$335,"",$H363+1),"")</f>
        <v/>
      </c>
      <c r="I364" s="209" t="str">
        <f>_xlfn.XLOOKUP($H364,'(backend scoring)'!$S$2:$S$333,'(backend scoring)'!$A$2:$A$333,"")</f>
        <v/>
      </c>
      <c r="J364" s="209" t="str">
        <f>IFERROR(VLOOKUP($I364,'Institution Evaluation'!$A$55:$F$345,2,0),IFERROR(VLOOKUP($I364,'Privacy Analyst Evaluation'!$A$46:$F$120,2,0),""))</f>
        <v/>
      </c>
      <c r="K364" s="209" t="str">
        <f>IFERROR(VLOOKUP($I364,'Institution Evaluation'!$A$55:$F$345,3,0),IFERROR(VLOOKUP($I364,'Privacy Analyst Evaluation'!$A$46:$F$120,3,0),""))&amp;""</f>
        <v/>
      </c>
      <c r="L364" s="209" t="str">
        <f>IFERROR(VLOOKUP($I364,'Institution Evaluation'!$A$55:$F$345,4,0),IFERROR(VLOOKUP($I364,'Privacy Analyst Evaluation'!$A$46:$F$120,4,0),""))&amp;""</f>
        <v/>
      </c>
      <c r="M364" s="209" t="str">
        <f>IFERROR(VLOOKUP($I364,'Institution Evaluation'!$A$55:$F$345,6,0),IFERROR(VLOOKUP($I364,'Privacy Analyst Evaluation'!$A$46:$F$120,6,0),""))&amp;""</f>
        <v/>
      </c>
    </row>
    <row r="365" spans="1:338" x14ac:dyDescent="0.2">
      <c r="A365" s="209" t="str">
        <f>IFERROR(IF($A364+1&gt;'(backend scoring)'!$T$335,"",$A364+1),"")</f>
        <v/>
      </c>
      <c r="B365" s="209" t="str">
        <f>_xlfn.XLOOKUP($A365,'(backend scoring)'!$V$2:$V$333,'(backend scoring)'!$A$2:$A$333,"")</f>
        <v/>
      </c>
      <c r="C365" s="209" t="str">
        <f>IFERROR(VLOOKUP($B365,'Institution Evaluation'!$A$55:$F$345,2,0),IFERROR(VLOOKUP($B365,'Privacy Analyst Evaluation'!$A$46:$F$120,2,0),""))&amp;""</f>
        <v/>
      </c>
      <c r="D365" s="209" t="str">
        <f>IFERROR(VLOOKUP($B365,'Institution Evaluation'!$A$55:$F$345,3,0),IFERROR(VLOOKUP($B365,'Privacy Analyst Evaluation'!$A$46:$F$120,3,0),""))&amp;""</f>
        <v/>
      </c>
      <c r="E365" s="209" t="str">
        <f>IFERROR(VLOOKUP($B365,'Institution Evaluation'!$A$55:$F$345,4,0),IFERROR(VLOOKUP($B365,'Privacy Analyst Evaluation'!$A$46:$F$120,4,0),""))&amp;""</f>
        <v/>
      </c>
      <c r="F365" s="209" t="str">
        <f>IFERROR(VLOOKUP($B365,'Institution Evaluation'!$A$55:$F$345,6,0),IFERROR(VLOOKUP($B365,'Privacy Analyst Evaluation'!$A$46:$F$120,6,0),""))&amp;""</f>
        <v/>
      </c>
      <c r="G365" s="210"/>
      <c r="H365" s="209" t="str">
        <f>IFERROR(IF($H364+1&gt;'(backend scoring)'!$Q$335,"",$H364+1),"")</f>
        <v/>
      </c>
      <c r="I365" s="209" t="str">
        <f>_xlfn.XLOOKUP($H365,'(backend scoring)'!$S$2:$S$333,'(backend scoring)'!$A$2:$A$333,"")</f>
        <v/>
      </c>
      <c r="J365" s="209" t="str">
        <f>IFERROR(VLOOKUP($I365,'Institution Evaluation'!$A$55:$F$345,2,0),IFERROR(VLOOKUP($I365,'Privacy Analyst Evaluation'!$A$46:$F$120,2,0),""))</f>
        <v/>
      </c>
      <c r="K365" s="209" t="str">
        <f>IFERROR(VLOOKUP($I365,'Institution Evaluation'!$A$55:$F$345,3,0),IFERROR(VLOOKUP($I365,'Privacy Analyst Evaluation'!$A$46:$F$120,3,0),""))&amp;""</f>
        <v/>
      </c>
      <c r="L365" s="209" t="str">
        <f>IFERROR(VLOOKUP($I365,'Institution Evaluation'!$A$55:$F$345,4,0),IFERROR(VLOOKUP($I365,'Privacy Analyst Evaluation'!$A$46:$F$120,4,0),""))&amp;""</f>
        <v/>
      </c>
      <c r="M365" s="209" t="str">
        <f>IFERROR(VLOOKUP($I365,'Institution Evaluation'!$A$55:$F$345,6,0),IFERROR(VLOOKUP($I365,'Privacy Analyst Evaluation'!$A$46:$F$120,6,0),""))&amp;""</f>
        <v/>
      </c>
    </row>
    <row r="366" spans="1:338" x14ac:dyDescent="0.2">
      <c r="A366" s="209" t="str">
        <f>IFERROR(IF($A365+1&gt;'(backend scoring)'!$T$335,"",$A365+1),"")</f>
        <v/>
      </c>
      <c r="B366" s="209" t="str">
        <f>_xlfn.XLOOKUP($A366,'(backend scoring)'!$V$2:$V$333,'(backend scoring)'!$A$2:$A$333,"")</f>
        <v/>
      </c>
      <c r="C366" s="209" t="str">
        <f>IFERROR(VLOOKUP($B366,'Institution Evaluation'!$A$55:$F$345,2,0),IFERROR(VLOOKUP($B366,'Privacy Analyst Evaluation'!$A$46:$F$120,2,0),""))&amp;""</f>
        <v/>
      </c>
      <c r="D366" s="209" t="str">
        <f>IFERROR(VLOOKUP($B366,'Institution Evaluation'!$A$55:$F$345,3,0),IFERROR(VLOOKUP($B366,'Privacy Analyst Evaluation'!$A$46:$F$120,3,0),""))&amp;""</f>
        <v/>
      </c>
      <c r="E366" s="209" t="str">
        <f>IFERROR(VLOOKUP($B366,'Institution Evaluation'!$A$55:$F$345,4,0),IFERROR(VLOOKUP($B366,'Privacy Analyst Evaluation'!$A$46:$F$120,4,0),""))&amp;""</f>
        <v/>
      </c>
      <c r="F366" s="209" t="str">
        <f>IFERROR(VLOOKUP($B366,'Institution Evaluation'!$A$55:$F$345,6,0),IFERROR(VLOOKUP($B366,'Privacy Analyst Evaluation'!$A$46:$F$120,6,0),""))&amp;""</f>
        <v/>
      </c>
      <c r="G366" s="210"/>
      <c r="H366" s="209" t="str">
        <f>IFERROR(IF($H365+1&gt;'(backend scoring)'!$Q$335,"",$H365+1),"")</f>
        <v/>
      </c>
      <c r="I366" s="209" t="str">
        <f>_xlfn.XLOOKUP($H366,'(backend scoring)'!$S$2:$S$333,'(backend scoring)'!$A$2:$A$333,"")</f>
        <v/>
      </c>
      <c r="J366" s="209" t="str">
        <f>IFERROR(VLOOKUP($I366,'Institution Evaluation'!$A$55:$F$345,2,0),IFERROR(VLOOKUP($I366,'Privacy Analyst Evaluation'!$A$46:$F$120,2,0),""))</f>
        <v/>
      </c>
      <c r="K366" s="209" t="str">
        <f>IFERROR(VLOOKUP($I366,'Institution Evaluation'!$A$55:$F$345,3,0),IFERROR(VLOOKUP($I366,'Privacy Analyst Evaluation'!$A$46:$F$120,3,0),""))&amp;""</f>
        <v/>
      </c>
      <c r="L366" s="209" t="str">
        <f>IFERROR(VLOOKUP($I366,'Institution Evaluation'!$A$55:$F$345,4,0),IFERROR(VLOOKUP($I366,'Privacy Analyst Evaluation'!$A$46:$F$120,4,0),""))&amp;""</f>
        <v/>
      </c>
      <c r="M366" s="209" t="str">
        <f>IFERROR(VLOOKUP($I366,'Institution Evaluation'!$A$55:$F$345,6,0),IFERROR(VLOOKUP($I366,'Privacy Analyst Evaluation'!$A$46:$F$120,6,0),""))&amp;""</f>
        <v/>
      </c>
    </row>
    <row r="367" spans="1:338" x14ac:dyDescent="0.2">
      <c r="A367" s="209" t="str">
        <f>IFERROR(IF($A366+1&gt;'(backend scoring)'!$T$335,"",$A366+1),"")</f>
        <v/>
      </c>
      <c r="B367" s="209" t="str">
        <f>_xlfn.XLOOKUP($A367,'(backend scoring)'!$V$2:$V$333,'(backend scoring)'!$A$2:$A$333,"")</f>
        <v/>
      </c>
      <c r="C367" s="209" t="str">
        <f>IFERROR(VLOOKUP($B367,'Institution Evaluation'!$A$55:$F$345,2,0),IFERROR(VLOOKUP($B367,'Privacy Analyst Evaluation'!$A$46:$F$120,2,0),""))&amp;""</f>
        <v/>
      </c>
      <c r="D367" s="209" t="str">
        <f>IFERROR(VLOOKUP($B367,'Institution Evaluation'!$A$55:$F$345,3,0),IFERROR(VLOOKUP($B367,'Privacy Analyst Evaluation'!$A$46:$F$120,3,0),""))&amp;""</f>
        <v/>
      </c>
      <c r="E367" s="209" t="str">
        <f>IFERROR(VLOOKUP($B367,'Institution Evaluation'!$A$55:$F$345,4,0),IFERROR(VLOOKUP($B367,'Privacy Analyst Evaluation'!$A$46:$F$120,4,0),""))&amp;""</f>
        <v/>
      </c>
      <c r="F367" s="209" t="str">
        <f>IFERROR(VLOOKUP($B367,'Institution Evaluation'!$A$55:$F$345,6,0),IFERROR(VLOOKUP($B367,'Privacy Analyst Evaluation'!$A$46:$F$120,6,0),""))&amp;""</f>
        <v/>
      </c>
      <c r="G367" s="210"/>
      <c r="H367" s="209" t="str">
        <f>IFERROR(IF($H366+1&gt;'(backend scoring)'!$Q$335,"",$H366+1),"")</f>
        <v/>
      </c>
      <c r="I367" s="209" t="str">
        <f>_xlfn.XLOOKUP($H367,'(backend scoring)'!$S$2:$S$333,'(backend scoring)'!$A$2:$A$333,"")</f>
        <v/>
      </c>
      <c r="J367" s="209" t="str">
        <f>IFERROR(VLOOKUP($I367,'Institution Evaluation'!$A$55:$F$345,2,0),IFERROR(VLOOKUP($I367,'Privacy Analyst Evaluation'!$A$46:$F$120,2,0),""))</f>
        <v/>
      </c>
      <c r="K367" s="209" t="str">
        <f>IFERROR(VLOOKUP($I367,'Institution Evaluation'!$A$55:$F$345,3,0),IFERROR(VLOOKUP($I367,'Privacy Analyst Evaluation'!$A$46:$F$120,3,0),""))&amp;""</f>
        <v/>
      </c>
      <c r="L367" s="209" t="str">
        <f>IFERROR(VLOOKUP($I367,'Institution Evaluation'!$A$55:$F$345,4,0),IFERROR(VLOOKUP($I367,'Privacy Analyst Evaluation'!$A$46:$F$120,4,0),""))&amp;""</f>
        <v/>
      </c>
      <c r="M367" s="209" t="str">
        <f>IFERROR(VLOOKUP($I367,'Institution Evaluation'!$A$55:$F$345,6,0),IFERROR(VLOOKUP($I367,'Privacy Analyst Evaluation'!$A$46:$F$120,6,0),""))&amp;""</f>
        <v/>
      </c>
    </row>
    <row r="368" spans="1:338" x14ac:dyDescent="0.2">
      <c r="A368" s="209" t="str">
        <f>IFERROR(IF($A367+1&gt;'(backend scoring)'!$T$335,"",$A367+1),"")</f>
        <v/>
      </c>
      <c r="B368" s="209" t="str">
        <f>_xlfn.XLOOKUP($A368,'(backend scoring)'!$V$2:$V$333,'(backend scoring)'!$A$2:$A$333,"")</f>
        <v/>
      </c>
      <c r="C368" s="209" t="str">
        <f>IFERROR(VLOOKUP($B368,'Institution Evaluation'!$A$55:$F$345,2,0),IFERROR(VLOOKUP($B368,'Privacy Analyst Evaluation'!$A$46:$F$120,2,0),""))&amp;""</f>
        <v/>
      </c>
      <c r="D368" s="209" t="str">
        <f>IFERROR(VLOOKUP($B368,'Institution Evaluation'!$A$55:$F$345,3,0),IFERROR(VLOOKUP($B368,'Privacy Analyst Evaluation'!$A$46:$F$120,3,0),""))&amp;""</f>
        <v/>
      </c>
      <c r="E368" s="209" t="str">
        <f>IFERROR(VLOOKUP($B368,'Institution Evaluation'!$A$55:$F$345,4,0),IFERROR(VLOOKUP($B368,'Privacy Analyst Evaluation'!$A$46:$F$120,4,0),""))&amp;""</f>
        <v/>
      </c>
      <c r="F368" s="209" t="str">
        <f>IFERROR(VLOOKUP($B368,'Institution Evaluation'!$A$55:$F$345,6,0),IFERROR(VLOOKUP($B368,'Privacy Analyst Evaluation'!$A$46:$F$120,6,0),""))&amp;""</f>
        <v/>
      </c>
      <c r="G368" s="210"/>
      <c r="H368" s="209" t="str">
        <f>IFERROR(IF($H367+1&gt;'(backend scoring)'!$Q$335,"",$H367+1),"")</f>
        <v/>
      </c>
      <c r="I368" s="209" t="str">
        <f>_xlfn.XLOOKUP($H368,'(backend scoring)'!$S$2:$S$333,'(backend scoring)'!$A$2:$A$333,"")</f>
        <v/>
      </c>
      <c r="J368" s="209" t="str">
        <f>IFERROR(VLOOKUP($I368,'Institution Evaluation'!$A$55:$F$345,2,0),IFERROR(VLOOKUP($I368,'Privacy Analyst Evaluation'!$A$46:$F$120,2,0),""))</f>
        <v/>
      </c>
      <c r="K368" s="209" t="str">
        <f>IFERROR(VLOOKUP($I368,'Institution Evaluation'!$A$55:$F$345,3,0),IFERROR(VLOOKUP($I368,'Privacy Analyst Evaluation'!$A$46:$F$120,3,0),""))&amp;""</f>
        <v/>
      </c>
      <c r="L368" s="209" t="str">
        <f>IFERROR(VLOOKUP($I368,'Institution Evaluation'!$A$55:$F$345,4,0),IFERROR(VLOOKUP($I368,'Privacy Analyst Evaluation'!$A$46:$F$120,4,0),""))&amp;""</f>
        <v/>
      </c>
      <c r="M368" s="209" t="str">
        <f>IFERROR(VLOOKUP($I368,'Institution Evaluation'!$A$55:$F$345,6,0),IFERROR(VLOOKUP($I368,'Privacy Analyst Evaluation'!$A$46:$F$120,6,0),""))&amp;""</f>
        <v/>
      </c>
      <c r="N368" s="238" t="s">
        <v>1449</v>
      </c>
    </row>
    <row r="369" spans="1:2" x14ac:dyDescent="0.2">
      <c r="A369" s="239" t="s">
        <v>1450</v>
      </c>
      <c r="B369" s="239" t="s">
        <v>1450</v>
      </c>
    </row>
    <row r="370" spans="1:2" hidden="1" x14ac:dyDescent="0.2">
      <c r="A370"/>
      <c r="B370"/>
    </row>
    <row r="371" spans="1:2" hidden="1" x14ac:dyDescent="0.2">
      <c r="A371"/>
      <c r="B371"/>
    </row>
    <row r="372" spans="1:2" hidden="1" x14ac:dyDescent="0.2">
      <c r="A372"/>
      <c r="B372"/>
    </row>
    <row r="373" spans="1:2" hidden="1" x14ac:dyDescent="0.2">
      <c r="A373"/>
      <c r="B373"/>
    </row>
    <row r="374" spans="1:2" hidden="1" x14ac:dyDescent="0.2">
      <c r="A374"/>
      <c r="B374"/>
    </row>
    <row r="375" spans="1:2" hidden="1" x14ac:dyDescent="0.2">
      <c r="A375"/>
      <c r="B375"/>
    </row>
    <row r="376" spans="1:2" hidden="1" x14ac:dyDescent="0.2">
      <c r="A376"/>
      <c r="B376"/>
    </row>
    <row r="377" spans="1:2" hidden="1" x14ac:dyDescent="0.2">
      <c r="A377"/>
      <c r="B377"/>
    </row>
    <row r="378" spans="1:2" hidden="1" x14ac:dyDescent="0.2">
      <c r="A378"/>
      <c r="B378"/>
    </row>
    <row r="379" spans="1:2" hidden="1" x14ac:dyDescent="0.2">
      <c r="A379"/>
      <c r="B379"/>
    </row>
    <row r="380" spans="1:2" hidden="1" x14ac:dyDescent="0.2">
      <c r="A380"/>
      <c r="B380"/>
    </row>
    <row r="381" spans="1:2" hidden="1" x14ac:dyDescent="0.2">
      <c r="A381"/>
      <c r="B381"/>
    </row>
    <row r="382" spans="1:2" hidden="1" x14ac:dyDescent="0.2">
      <c r="A382"/>
      <c r="B382"/>
    </row>
    <row r="383" spans="1:2" hidden="1" x14ac:dyDescent="0.2">
      <c r="A383"/>
      <c r="B383"/>
    </row>
    <row r="384" spans="1:2" hidden="1" x14ac:dyDescent="0.2">
      <c r="A384"/>
      <c r="B384"/>
    </row>
    <row r="385" spans="1:2" hidden="1" x14ac:dyDescent="0.2">
      <c r="A385"/>
      <c r="B385"/>
    </row>
    <row r="386" spans="1:2" hidden="1" x14ac:dyDescent="0.2">
      <c r="A386"/>
      <c r="B386"/>
    </row>
    <row r="387" spans="1:2" hidden="1" x14ac:dyDescent="0.2">
      <c r="A387"/>
      <c r="B387"/>
    </row>
    <row r="388" spans="1:2" hidden="1" x14ac:dyDescent="0.2">
      <c r="A388"/>
      <c r="B388"/>
    </row>
    <row r="389" spans="1:2" hidden="1" x14ac:dyDescent="0.2">
      <c r="A389"/>
      <c r="B389"/>
    </row>
    <row r="390" spans="1:2" hidden="1" x14ac:dyDescent="0.2">
      <c r="A390"/>
      <c r="B390"/>
    </row>
    <row r="391" spans="1:2" hidden="1" x14ac:dyDescent="0.2">
      <c r="A391"/>
      <c r="B391"/>
    </row>
    <row r="392" spans="1:2" hidden="1" x14ac:dyDescent="0.2">
      <c r="A392"/>
      <c r="B392"/>
    </row>
    <row r="393" spans="1:2" hidden="1" x14ac:dyDescent="0.2">
      <c r="A393"/>
      <c r="B393"/>
    </row>
    <row r="394" spans="1:2" hidden="1" x14ac:dyDescent="0.2">
      <c r="A394"/>
      <c r="B394"/>
    </row>
    <row r="395" spans="1:2" hidden="1" x14ac:dyDescent="0.2">
      <c r="A395"/>
      <c r="B395"/>
    </row>
    <row r="396" spans="1:2" hidden="1" x14ac:dyDescent="0.2">
      <c r="A396"/>
      <c r="B396"/>
    </row>
    <row r="397" spans="1:2" hidden="1" x14ac:dyDescent="0.2">
      <c r="A397"/>
      <c r="B397"/>
    </row>
    <row r="398" spans="1:2" hidden="1" x14ac:dyDescent="0.2">
      <c r="A398"/>
      <c r="B398"/>
    </row>
    <row r="399" spans="1:2" hidden="1" x14ac:dyDescent="0.2">
      <c r="A399"/>
      <c r="B399"/>
    </row>
    <row r="400" spans="1:2" hidden="1" x14ac:dyDescent="0.2">
      <c r="A400"/>
      <c r="B400"/>
    </row>
    <row r="401" spans="1:2" hidden="1" x14ac:dyDescent="0.2">
      <c r="A401"/>
      <c r="B401"/>
    </row>
    <row r="402" spans="1:2" hidden="1" x14ac:dyDescent="0.2">
      <c r="A402"/>
      <c r="B402"/>
    </row>
    <row r="403" spans="1:2" hidden="1" x14ac:dyDescent="0.2">
      <c r="A403"/>
      <c r="B403"/>
    </row>
    <row r="404" spans="1:2" hidden="1" x14ac:dyDescent="0.2">
      <c r="A404"/>
      <c r="B404"/>
    </row>
    <row r="405" spans="1:2" hidden="1" x14ac:dyDescent="0.2">
      <c r="A405"/>
      <c r="B405"/>
    </row>
    <row r="406" spans="1:2" hidden="1" x14ac:dyDescent="0.2">
      <c r="A406"/>
      <c r="B406"/>
    </row>
    <row r="407" spans="1:2" hidden="1" x14ac:dyDescent="0.2">
      <c r="A407"/>
      <c r="B407"/>
    </row>
    <row r="408" spans="1:2" hidden="1" x14ac:dyDescent="0.2">
      <c r="A408"/>
      <c r="B408"/>
    </row>
    <row r="409" spans="1:2" hidden="1" x14ac:dyDescent="0.2">
      <c r="A409"/>
      <c r="B409"/>
    </row>
    <row r="410" spans="1:2" hidden="1" x14ac:dyDescent="0.2">
      <c r="A410"/>
      <c r="B410"/>
    </row>
    <row r="411" spans="1:2" hidden="1" x14ac:dyDescent="0.2">
      <c r="A411"/>
      <c r="B411"/>
    </row>
    <row r="412" spans="1:2" hidden="1" x14ac:dyDescent="0.2">
      <c r="A412"/>
      <c r="B412"/>
    </row>
    <row r="413" spans="1:2" hidden="1" x14ac:dyDescent="0.2">
      <c r="A413"/>
      <c r="B413"/>
    </row>
    <row r="414" spans="1:2" hidden="1" x14ac:dyDescent="0.2">
      <c r="A414"/>
      <c r="B414"/>
    </row>
    <row r="415" spans="1:2" hidden="1" x14ac:dyDescent="0.2">
      <c r="A415"/>
      <c r="B415"/>
    </row>
    <row r="416" spans="1:2" hidden="1" x14ac:dyDescent="0.2">
      <c r="A416"/>
      <c r="B416"/>
    </row>
    <row r="417" spans="1:2" hidden="1" x14ac:dyDescent="0.2">
      <c r="A417"/>
      <c r="B417"/>
    </row>
    <row r="418" spans="1:2" hidden="1" x14ac:dyDescent="0.2">
      <c r="A418"/>
      <c r="B418"/>
    </row>
    <row r="419" spans="1:2" hidden="1" x14ac:dyDescent="0.2">
      <c r="A419"/>
      <c r="B419"/>
    </row>
    <row r="420" spans="1:2" hidden="1" x14ac:dyDescent="0.2">
      <c r="A420"/>
      <c r="B420"/>
    </row>
    <row r="421" spans="1:2" hidden="1" x14ac:dyDescent="0.2">
      <c r="A421"/>
      <c r="B421"/>
    </row>
    <row r="422" spans="1:2" hidden="1" x14ac:dyDescent="0.2">
      <c r="A422"/>
      <c r="B422"/>
    </row>
    <row r="423" spans="1:2" hidden="1" x14ac:dyDescent="0.2">
      <c r="A423"/>
      <c r="B423"/>
    </row>
    <row r="424" spans="1:2" hidden="1" x14ac:dyDescent="0.2">
      <c r="A424"/>
      <c r="B424"/>
    </row>
    <row r="425" spans="1:2" hidden="1" x14ac:dyDescent="0.2">
      <c r="A425"/>
      <c r="B425"/>
    </row>
    <row r="426" spans="1:2" hidden="1" x14ac:dyDescent="0.2">
      <c r="A426"/>
      <c r="B426"/>
    </row>
    <row r="427" spans="1:2" hidden="1" x14ac:dyDescent="0.2">
      <c r="A427"/>
      <c r="B427"/>
    </row>
    <row r="428" spans="1:2" hidden="1" x14ac:dyDescent="0.2">
      <c r="A428"/>
      <c r="B428"/>
    </row>
    <row r="429" spans="1:2" hidden="1" x14ac:dyDescent="0.2">
      <c r="A429"/>
      <c r="B429"/>
    </row>
    <row r="430" spans="1:2" hidden="1" x14ac:dyDescent="0.2">
      <c r="A430"/>
      <c r="B430"/>
    </row>
    <row r="431" spans="1:2" hidden="1" x14ac:dyDescent="0.2">
      <c r="A431"/>
      <c r="B431"/>
    </row>
    <row r="432" spans="1:2" hidden="1" x14ac:dyDescent="0.2">
      <c r="A432"/>
      <c r="B432"/>
    </row>
    <row r="433" spans="1:2" hidden="1" x14ac:dyDescent="0.2">
      <c r="A433"/>
      <c r="B433"/>
    </row>
    <row r="434" spans="1:2" hidden="1" x14ac:dyDescent="0.2">
      <c r="A434"/>
      <c r="B434"/>
    </row>
    <row r="435" spans="1:2" hidden="1" x14ac:dyDescent="0.2">
      <c r="A435"/>
      <c r="B435"/>
    </row>
    <row r="436" spans="1:2" hidden="1" x14ac:dyDescent="0.2">
      <c r="A436"/>
      <c r="B436"/>
    </row>
    <row r="437" spans="1:2" hidden="1" x14ac:dyDescent="0.2">
      <c r="A437"/>
      <c r="B437"/>
    </row>
    <row r="438" spans="1:2" hidden="1" x14ac:dyDescent="0.2">
      <c r="A438"/>
      <c r="B438"/>
    </row>
    <row r="439" spans="1:2" hidden="1" x14ac:dyDescent="0.2">
      <c r="A439"/>
      <c r="B439"/>
    </row>
    <row r="440" spans="1:2" hidden="1" x14ac:dyDescent="0.2">
      <c r="A440"/>
      <c r="B440"/>
    </row>
    <row r="441" spans="1:2" hidden="1" x14ac:dyDescent="0.2">
      <c r="A441"/>
      <c r="B441"/>
    </row>
    <row r="442" spans="1:2" hidden="1" x14ac:dyDescent="0.2">
      <c r="A442"/>
      <c r="B442"/>
    </row>
    <row r="443" spans="1:2" hidden="1" x14ac:dyDescent="0.2">
      <c r="A443"/>
      <c r="B443"/>
    </row>
    <row r="444" spans="1:2" hidden="1" x14ac:dyDescent="0.2">
      <c r="A444"/>
      <c r="B444"/>
    </row>
    <row r="445" spans="1:2" hidden="1" x14ac:dyDescent="0.2">
      <c r="A445"/>
      <c r="B445"/>
    </row>
    <row r="446" spans="1:2" hidden="1" x14ac:dyDescent="0.2">
      <c r="A446"/>
      <c r="B446"/>
    </row>
    <row r="447" spans="1:2" hidden="1" x14ac:dyDescent="0.2">
      <c r="A447"/>
      <c r="B447"/>
    </row>
    <row r="448" spans="1:2" hidden="1" x14ac:dyDescent="0.2">
      <c r="A448"/>
      <c r="B448"/>
    </row>
    <row r="449" spans="1:2" hidden="1" x14ac:dyDescent="0.2">
      <c r="A449"/>
      <c r="B449"/>
    </row>
    <row r="450" spans="1:2" hidden="1" x14ac:dyDescent="0.2">
      <c r="A450"/>
      <c r="B450"/>
    </row>
    <row r="451" spans="1:2" hidden="1" x14ac:dyDescent="0.2">
      <c r="A451"/>
      <c r="B451"/>
    </row>
    <row r="452" spans="1:2" hidden="1" x14ac:dyDescent="0.2">
      <c r="A452"/>
      <c r="B452"/>
    </row>
    <row r="453" spans="1:2" hidden="1" x14ac:dyDescent="0.2">
      <c r="A453"/>
      <c r="B453"/>
    </row>
    <row r="454" spans="1:2" hidden="1" x14ac:dyDescent="0.2">
      <c r="A454"/>
      <c r="B454"/>
    </row>
    <row r="455" spans="1:2" hidden="1" x14ac:dyDescent="0.2">
      <c r="A455"/>
      <c r="B455"/>
    </row>
    <row r="456" spans="1:2" hidden="1" x14ac:dyDescent="0.2">
      <c r="A456"/>
      <c r="B456"/>
    </row>
    <row r="457" spans="1:2" hidden="1" x14ac:dyDescent="0.2">
      <c r="A457"/>
      <c r="B457"/>
    </row>
    <row r="458" spans="1:2" hidden="1" x14ac:dyDescent="0.2">
      <c r="A458"/>
      <c r="B458"/>
    </row>
    <row r="459" spans="1:2" hidden="1" x14ac:dyDescent="0.2">
      <c r="A459"/>
      <c r="B459"/>
    </row>
    <row r="460" spans="1:2" hidden="1" x14ac:dyDescent="0.2">
      <c r="A460"/>
      <c r="B460"/>
    </row>
    <row r="461" spans="1:2" hidden="1" x14ac:dyDescent="0.2">
      <c r="A461"/>
      <c r="B461"/>
    </row>
    <row r="462" spans="1:2" hidden="1" x14ac:dyDescent="0.2">
      <c r="A462"/>
      <c r="B462"/>
    </row>
    <row r="463" spans="1:2" hidden="1" x14ac:dyDescent="0.2">
      <c r="A463"/>
      <c r="B463"/>
    </row>
    <row r="464" spans="1:2" hidden="1" x14ac:dyDescent="0.2">
      <c r="A464"/>
      <c r="B464"/>
    </row>
    <row r="465" spans="1:2" hidden="1" x14ac:dyDescent="0.2">
      <c r="A465"/>
      <c r="B465"/>
    </row>
    <row r="466" spans="1:2" hidden="1" x14ac:dyDescent="0.2">
      <c r="A466"/>
      <c r="B466"/>
    </row>
    <row r="467" spans="1:2" hidden="1" x14ac:dyDescent="0.2">
      <c r="A467"/>
      <c r="B467"/>
    </row>
    <row r="468" spans="1:2" hidden="1" x14ac:dyDescent="0.2">
      <c r="A468"/>
      <c r="B468"/>
    </row>
    <row r="469" spans="1:2" hidden="1" x14ac:dyDescent="0.2">
      <c r="A469"/>
      <c r="B469"/>
    </row>
    <row r="470" spans="1:2" hidden="1" x14ac:dyDescent="0.2">
      <c r="A470"/>
      <c r="B470"/>
    </row>
    <row r="471" spans="1:2" hidden="1" x14ac:dyDescent="0.2">
      <c r="A471"/>
      <c r="B471"/>
    </row>
    <row r="472" spans="1:2" hidden="1" x14ac:dyDescent="0.2">
      <c r="A472"/>
      <c r="B472"/>
    </row>
    <row r="473" spans="1:2" hidden="1" x14ac:dyDescent="0.2">
      <c r="A473"/>
      <c r="B473"/>
    </row>
    <row r="474" spans="1:2" hidden="1" x14ac:dyDescent="0.2">
      <c r="A474"/>
      <c r="B474"/>
    </row>
    <row r="475" spans="1:2" hidden="1" x14ac:dyDescent="0.2">
      <c r="A475"/>
      <c r="B475"/>
    </row>
    <row r="476" spans="1:2" hidden="1" x14ac:dyDescent="0.2">
      <c r="A476"/>
      <c r="B476"/>
    </row>
    <row r="477" spans="1:2" hidden="1" x14ac:dyDescent="0.2">
      <c r="A477"/>
      <c r="B477"/>
    </row>
    <row r="478" spans="1:2" hidden="1" x14ac:dyDescent="0.2">
      <c r="A478"/>
      <c r="B478"/>
    </row>
    <row r="479" spans="1:2" hidden="1" x14ac:dyDescent="0.2">
      <c r="A479"/>
      <c r="B479"/>
    </row>
    <row r="480" spans="1:2" hidden="1" x14ac:dyDescent="0.2">
      <c r="A480"/>
      <c r="B480"/>
    </row>
    <row r="481" spans="1:2" hidden="1" x14ac:dyDescent="0.2">
      <c r="A481"/>
      <c r="B481"/>
    </row>
    <row r="482" spans="1:2" hidden="1" x14ac:dyDescent="0.2">
      <c r="A482"/>
      <c r="B482"/>
    </row>
    <row r="483" spans="1:2" hidden="1" x14ac:dyDescent="0.2">
      <c r="A483"/>
      <c r="B483"/>
    </row>
    <row r="484" spans="1:2" hidden="1" x14ac:dyDescent="0.2">
      <c r="A484"/>
      <c r="B484"/>
    </row>
    <row r="485" spans="1:2" hidden="1" x14ac:dyDescent="0.2">
      <c r="A485"/>
      <c r="B485"/>
    </row>
    <row r="486" spans="1:2" hidden="1" x14ac:dyDescent="0.2">
      <c r="A486"/>
      <c r="B486"/>
    </row>
    <row r="487" spans="1:2" hidden="1" x14ac:dyDescent="0.2">
      <c r="A487"/>
      <c r="B487"/>
    </row>
    <row r="488" spans="1:2" hidden="1" x14ac:dyDescent="0.2">
      <c r="A488"/>
      <c r="B488"/>
    </row>
    <row r="489" spans="1:2" hidden="1" x14ac:dyDescent="0.2">
      <c r="A489"/>
      <c r="B489"/>
    </row>
    <row r="490" spans="1:2" hidden="1" x14ac:dyDescent="0.2">
      <c r="A490"/>
      <c r="B490"/>
    </row>
    <row r="491" spans="1:2" hidden="1" x14ac:dyDescent="0.2">
      <c r="A491"/>
      <c r="B491"/>
    </row>
    <row r="492" spans="1:2" hidden="1" x14ac:dyDescent="0.2">
      <c r="A492"/>
      <c r="B492"/>
    </row>
    <row r="493" spans="1:2" hidden="1" x14ac:dyDescent="0.2">
      <c r="A493"/>
      <c r="B493"/>
    </row>
    <row r="494" spans="1:2" hidden="1" x14ac:dyDescent="0.2">
      <c r="A494"/>
      <c r="B494"/>
    </row>
    <row r="495" spans="1:2" hidden="1" x14ac:dyDescent="0.2">
      <c r="A495"/>
      <c r="B495"/>
    </row>
    <row r="496" spans="1:2" hidden="1" x14ac:dyDescent="0.2">
      <c r="A496"/>
      <c r="B496"/>
    </row>
    <row r="497" spans="1:2" hidden="1" x14ac:dyDescent="0.2">
      <c r="A497"/>
      <c r="B497"/>
    </row>
    <row r="498" spans="1:2" hidden="1" x14ac:dyDescent="0.2">
      <c r="A498"/>
      <c r="B498"/>
    </row>
    <row r="499" spans="1:2" hidden="1" x14ac:dyDescent="0.2">
      <c r="A499"/>
      <c r="B499"/>
    </row>
    <row r="500" spans="1:2" hidden="1" x14ac:dyDescent="0.2">
      <c r="A500"/>
      <c r="B500"/>
    </row>
    <row r="501" spans="1:2" hidden="1" x14ac:dyDescent="0.2">
      <c r="A501"/>
      <c r="B501"/>
    </row>
    <row r="502" spans="1:2" hidden="1" x14ac:dyDescent="0.2">
      <c r="A502"/>
      <c r="B502"/>
    </row>
    <row r="503" spans="1:2" hidden="1" x14ac:dyDescent="0.2">
      <c r="A503"/>
      <c r="B503"/>
    </row>
    <row r="504" spans="1:2" hidden="1" x14ac:dyDescent="0.2">
      <c r="A504"/>
      <c r="B504"/>
    </row>
    <row r="505" spans="1:2" hidden="1" x14ac:dyDescent="0.2">
      <c r="A505"/>
      <c r="B505"/>
    </row>
    <row r="506" spans="1:2" hidden="1" x14ac:dyDescent="0.2">
      <c r="A506"/>
      <c r="B506"/>
    </row>
    <row r="507" spans="1:2" hidden="1" x14ac:dyDescent="0.2">
      <c r="A507"/>
      <c r="B507"/>
    </row>
    <row r="508" spans="1:2" hidden="1" x14ac:dyDescent="0.2">
      <c r="A508"/>
      <c r="B508"/>
    </row>
    <row r="509" spans="1:2" hidden="1" x14ac:dyDescent="0.2">
      <c r="A509"/>
      <c r="B509"/>
    </row>
    <row r="510" spans="1:2" hidden="1" x14ac:dyDescent="0.2">
      <c r="A510"/>
      <c r="B510"/>
    </row>
    <row r="511" spans="1:2" hidden="1" x14ac:dyDescent="0.2">
      <c r="A511"/>
      <c r="B511"/>
    </row>
    <row r="512" spans="1:2" hidden="1" x14ac:dyDescent="0.2">
      <c r="A512"/>
      <c r="B512"/>
    </row>
    <row r="513" spans="1:2" hidden="1" x14ac:dyDescent="0.2">
      <c r="A513"/>
      <c r="B513"/>
    </row>
    <row r="514" spans="1:2" hidden="1" x14ac:dyDescent="0.2">
      <c r="A514"/>
      <c r="B514"/>
    </row>
    <row r="515" spans="1:2" hidden="1" x14ac:dyDescent="0.2">
      <c r="A515"/>
      <c r="B515"/>
    </row>
    <row r="516" spans="1:2" hidden="1" x14ac:dyDescent="0.2">
      <c r="A516"/>
      <c r="B516"/>
    </row>
    <row r="517" spans="1:2" hidden="1" x14ac:dyDescent="0.2">
      <c r="A517"/>
      <c r="B517"/>
    </row>
    <row r="518" spans="1:2" hidden="1" x14ac:dyDescent="0.2">
      <c r="A518"/>
      <c r="B518"/>
    </row>
    <row r="519" spans="1:2" hidden="1" x14ac:dyDescent="0.2">
      <c r="A519"/>
      <c r="B519"/>
    </row>
    <row r="520" spans="1:2" hidden="1" x14ac:dyDescent="0.2">
      <c r="A520"/>
      <c r="B520"/>
    </row>
    <row r="521" spans="1:2" hidden="1" x14ac:dyDescent="0.2">
      <c r="A521"/>
      <c r="B521"/>
    </row>
    <row r="522" spans="1:2" hidden="1" x14ac:dyDescent="0.2">
      <c r="A522"/>
      <c r="B522"/>
    </row>
    <row r="523" spans="1:2" hidden="1" x14ac:dyDescent="0.2">
      <c r="A523"/>
      <c r="B523"/>
    </row>
    <row r="524" spans="1:2" hidden="1" x14ac:dyDescent="0.2">
      <c r="A524"/>
      <c r="B524"/>
    </row>
    <row r="525" spans="1:2" hidden="1" x14ac:dyDescent="0.2">
      <c r="A525"/>
      <c r="B525"/>
    </row>
    <row r="526" spans="1:2" hidden="1" x14ac:dyDescent="0.2">
      <c r="A526"/>
      <c r="B526"/>
    </row>
    <row r="527" spans="1:2" hidden="1" x14ac:dyDescent="0.2">
      <c r="A527"/>
      <c r="B527"/>
    </row>
    <row r="528" spans="1:2" hidden="1" x14ac:dyDescent="0.2">
      <c r="A528"/>
      <c r="B528"/>
    </row>
    <row r="529" spans="1:2" hidden="1" x14ac:dyDescent="0.2">
      <c r="A529"/>
      <c r="B529"/>
    </row>
    <row r="530" spans="1:2" hidden="1" x14ac:dyDescent="0.2">
      <c r="A530"/>
      <c r="B530"/>
    </row>
    <row r="531" spans="1:2" hidden="1" x14ac:dyDescent="0.2">
      <c r="A531"/>
      <c r="B531"/>
    </row>
    <row r="532" spans="1:2" hidden="1" x14ac:dyDescent="0.2">
      <c r="A532"/>
      <c r="B532"/>
    </row>
    <row r="533" spans="1:2" hidden="1" x14ac:dyDescent="0.2">
      <c r="A533"/>
      <c r="B533"/>
    </row>
    <row r="534" spans="1:2" hidden="1" x14ac:dyDescent="0.2">
      <c r="A534"/>
      <c r="B534"/>
    </row>
    <row r="535" spans="1:2" hidden="1" x14ac:dyDescent="0.2">
      <c r="A535"/>
      <c r="B535"/>
    </row>
    <row r="536" spans="1:2" hidden="1" x14ac:dyDescent="0.2">
      <c r="A536"/>
      <c r="B536"/>
    </row>
    <row r="537" spans="1:2" hidden="1" x14ac:dyDescent="0.2">
      <c r="A537"/>
      <c r="B537"/>
    </row>
    <row r="538" spans="1:2" hidden="1" x14ac:dyDescent="0.2">
      <c r="A538"/>
      <c r="B538"/>
    </row>
    <row r="539" spans="1:2" hidden="1" x14ac:dyDescent="0.2">
      <c r="A539"/>
      <c r="B539"/>
    </row>
    <row r="540" spans="1:2" hidden="1" x14ac:dyDescent="0.2">
      <c r="A540"/>
      <c r="B540"/>
    </row>
    <row r="541" spans="1:2" hidden="1" x14ac:dyDescent="0.2">
      <c r="A541"/>
      <c r="B541"/>
    </row>
    <row r="542" spans="1:2" hidden="1" x14ac:dyDescent="0.2">
      <c r="A542"/>
      <c r="B542"/>
    </row>
    <row r="543" spans="1:2" hidden="1" x14ac:dyDescent="0.2">
      <c r="A543"/>
      <c r="B543"/>
    </row>
    <row r="544" spans="1:2" hidden="1" x14ac:dyDescent="0.2">
      <c r="A544"/>
      <c r="B544"/>
    </row>
    <row r="545" spans="1:2" hidden="1" x14ac:dyDescent="0.2">
      <c r="A545"/>
      <c r="B545"/>
    </row>
    <row r="546" spans="1:2" hidden="1" x14ac:dyDescent="0.2">
      <c r="A546"/>
      <c r="B546"/>
    </row>
    <row r="547" spans="1:2" hidden="1" x14ac:dyDescent="0.2">
      <c r="A547"/>
      <c r="B547"/>
    </row>
    <row r="548" spans="1:2" hidden="1" x14ac:dyDescent="0.2">
      <c r="A548"/>
      <c r="B548"/>
    </row>
    <row r="549" spans="1:2" hidden="1" x14ac:dyDescent="0.2">
      <c r="A549"/>
      <c r="B549"/>
    </row>
    <row r="550" spans="1:2" hidden="1" x14ac:dyDescent="0.2">
      <c r="A550"/>
      <c r="B550"/>
    </row>
    <row r="551" spans="1:2" hidden="1" x14ac:dyDescent="0.2">
      <c r="A551"/>
      <c r="B551"/>
    </row>
    <row r="552" spans="1:2" hidden="1" x14ac:dyDescent="0.2">
      <c r="A552"/>
      <c r="B552"/>
    </row>
    <row r="553" spans="1:2" hidden="1" x14ac:dyDescent="0.2">
      <c r="A553"/>
      <c r="B553"/>
    </row>
    <row r="554" spans="1:2" hidden="1" x14ac:dyDescent="0.2">
      <c r="A554"/>
      <c r="B554"/>
    </row>
    <row r="555" spans="1:2" hidden="1" x14ac:dyDescent="0.2">
      <c r="A555"/>
      <c r="B555"/>
    </row>
    <row r="556" spans="1:2" hidden="1" x14ac:dyDescent="0.2">
      <c r="A556"/>
      <c r="B556"/>
    </row>
    <row r="557" spans="1:2" hidden="1" x14ac:dyDescent="0.2">
      <c r="A557"/>
      <c r="B557"/>
    </row>
    <row r="558" spans="1:2" hidden="1" x14ac:dyDescent="0.2">
      <c r="A558"/>
      <c r="B558"/>
    </row>
    <row r="559" spans="1:2" hidden="1" x14ac:dyDescent="0.2">
      <c r="A559"/>
      <c r="B559"/>
    </row>
    <row r="560" spans="1:2" hidden="1" x14ac:dyDescent="0.2">
      <c r="A560"/>
      <c r="B560"/>
    </row>
    <row r="561" spans="1:2" hidden="1" x14ac:dyDescent="0.2">
      <c r="A561"/>
      <c r="B561"/>
    </row>
    <row r="562" spans="1:2" hidden="1" x14ac:dyDescent="0.2">
      <c r="A562"/>
      <c r="B562"/>
    </row>
    <row r="563" spans="1:2" hidden="1" x14ac:dyDescent="0.2">
      <c r="A563"/>
      <c r="B563"/>
    </row>
    <row r="564" spans="1:2" hidden="1" x14ac:dyDescent="0.2">
      <c r="A564"/>
      <c r="B564"/>
    </row>
    <row r="565" spans="1:2" hidden="1" x14ac:dyDescent="0.2">
      <c r="A565"/>
      <c r="B565"/>
    </row>
    <row r="566" spans="1:2" hidden="1" x14ac:dyDescent="0.2">
      <c r="A566"/>
      <c r="B566"/>
    </row>
    <row r="567" spans="1:2" hidden="1" x14ac:dyDescent="0.2">
      <c r="A567"/>
      <c r="B567"/>
    </row>
    <row r="568" spans="1:2" hidden="1" x14ac:dyDescent="0.2">
      <c r="A568"/>
      <c r="B568"/>
    </row>
    <row r="569" spans="1:2" hidden="1" x14ac:dyDescent="0.2">
      <c r="A569"/>
      <c r="B569"/>
    </row>
    <row r="570" spans="1:2" hidden="1" x14ac:dyDescent="0.2">
      <c r="A570"/>
      <c r="B570"/>
    </row>
    <row r="571" spans="1:2" hidden="1" x14ac:dyDescent="0.2">
      <c r="A571"/>
      <c r="B571"/>
    </row>
    <row r="572" spans="1:2" hidden="1" x14ac:dyDescent="0.2">
      <c r="A572"/>
      <c r="B572"/>
    </row>
    <row r="573" spans="1:2" hidden="1" x14ac:dyDescent="0.2">
      <c r="A573"/>
      <c r="B573"/>
    </row>
    <row r="574" spans="1:2" hidden="1" x14ac:dyDescent="0.2">
      <c r="A574"/>
      <c r="B574"/>
    </row>
    <row r="575" spans="1:2" hidden="1" x14ac:dyDescent="0.2">
      <c r="A575"/>
      <c r="B575"/>
    </row>
    <row r="576" spans="1:2" hidden="1" x14ac:dyDescent="0.2">
      <c r="A576"/>
      <c r="B576"/>
    </row>
    <row r="577" spans="1:2" hidden="1" x14ac:dyDescent="0.2">
      <c r="A577"/>
      <c r="B577"/>
    </row>
    <row r="578" spans="1:2" hidden="1" x14ac:dyDescent="0.2">
      <c r="A578"/>
      <c r="B578"/>
    </row>
    <row r="579" spans="1:2" hidden="1" x14ac:dyDescent="0.2">
      <c r="A579"/>
      <c r="B579"/>
    </row>
    <row r="580" spans="1:2" hidden="1" x14ac:dyDescent="0.2">
      <c r="A580"/>
      <c r="B580"/>
    </row>
    <row r="581" spans="1:2" hidden="1" x14ac:dyDescent="0.2">
      <c r="A581"/>
      <c r="B581"/>
    </row>
    <row r="582" spans="1:2" hidden="1" x14ac:dyDescent="0.2">
      <c r="A582"/>
      <c r="B582"/>
    </row>
    <row r="583" spans="1:2" hidden="1" x14ac:dyDescent="0.2">
      <c r="A583"/>
      <c r="B583"/>
    </row>
    <row r="584" spans="1:2" hidden="1" x14ac:dyDescent="0.2">
      <c r="A584"/>
      <c r="B584"/>
    </row>
    <row r="585" spans="1:2" hidden="1" x14ac:dyDescent="0.2">
      <c r="A585"/>
      <c r="B585"/>
    </row>
    <row r="586" spans="1:2" hidden="1" x14ac:dyDescent="0.2">
      <c r="A586"/>
      <c r="B586"/>
    </row>
    <row r="587" spans="1:2" hidden="1" x14ac:dyDescent="0.2">
      <c r="A587"/>
      <c r="B587"/>
    </row>
    <row r="588" spans="1:2" hidden="1" x14ac:dyDescent="0.2">
      <c r="A588"/>
      <c r="B588"/>
    </row>
    <row r="589" spans="1:2" hidden="1" x14ac:dyDescent="0.2">
      <c r="A589"/>
      <c r="B589"/>
    </row>
    <row r="590" spans="1:2" hidden="1" x14ac:dyDescent="0.2">
      <c r="A590"/>
      <c r="B590"/>
    </row>
    <row r="591" spans="1:2" hidden="1" x14ac:dyDescent="0.2">
      <c r="A591"/>
      <c r="B591"/>
    </row>
    <row r="592" spans="1:2" hidden="1" x14ac:dyDescent="0.2">
      <c r="A592"/>
      <c r="B592"/>
    </row>
    <row r="593" spans="1:2" hidden="1" x14ac:dyDescent="0.2">
      <c r="A593"/>
      <c r="B593"/>
    </row>
    <row r="594" spans="1:2" hidden="1" x14ac:dyDescent="0.2">
      <c r="A594"/>
      <c r="B594"/>
    </row>
    <row r="595" spans="1:2" hidden="1" x14ac:dyDescent="0.2">
      <c r="A595"/>
      <c r="B595"/>
    </row>
    <row r="596" spans="1:2" hidden="1" x14ac:dyDescent="0.2">
      <c r="A596"/>
      <c r="B596"/>
    </row>
    <row r="597" spans="1:2" hidden="1" x14ac:dyDescent="0.2">
      <c r="A597"/>
      <c r="B597"/>
    </row>
    <row r="598" spans="1:2" hidden="1" x14ac:dyDescent="0.2">
      <c r="A598"/>
      <c r="B598"/>
    </row>
    <row r="599" spans="1:2" hidden="1" x14ac:dyDescent="0.2">
      <c r="A599"/>
      <c r="B599"/>
    </row>
    <row r="600" spans="1:2" hidden="1" x14ac:dyDescent="0.2">
      <c r="A600"/>
      <c r="B600"/>
    </row>
    <row r="601" spans="1:2" hidden="1" x14ac:dyDescent="0.2">
      <c r="A601"/>
      <c r="B601"/>
    </row>
    <row r="602" spans="1:2" hidden="1" x14ac:dyDescent="0.2">
      <c r="A602"/>
      <c r="B602"/>
    </row>
    <row r="603" spans="1:2" hidden="1" x14ac:dyDescent="0.2">
      <c r="A603"/>
      <c r="B603"/>
    </row>
    <row r="604" spans="1:2" hidden="1" x14ac:dyDescent="0.2">
      <c r="A604"/>
      <c r="B604"/>
    </row>
    <row r="605" spans="1:2" hidden="1" x14ac:dyDescent="0.2">
      <c r="A605"/>
      <c r="B605"/>
    </row>
    <row r="606" spans="1:2" hidden="1" x14ac:dyDescent="0.2">
      <c r="A606"/>
      <c r="B606"/>
    </row>
    <row r="607" spans="1:2" hidden="1" x14ac:dyDescent="0.2">
      <c r="A607"/>
      <c r="B607"/>
    </row>
    <row r="608" spans="1:2" hidden="1" x14ac:dyDescent="0.2">
      <c r="A608"/>
      <c r="B608"/>
    </row>
    <row r="609" spans="1:2" hidden="1" x14ac:dyDescent="0.2">
      <c r="A609"/>
      <c r="B609"/>
    </row>
    <row r="610" spans="1:2" hidden="1" x14ac:dyDescent="0.2">
      <c r="A610"/>
      <c r="B610"/>
    </row>
    <row r="611" spans="1:2" hidden="1" x14ac:dyDescent="0.2">
      <c r="A611"/>
      <c r="B611"/>
    </row>
    <row r="612" spans="1:2" hidden="1" x14ac:dyDescent="0.2">
      <c r="A612"/>
      <c r="B612"/>
    </row>
    <row r="613" spans="1:2" hidden="1" x14ac:dyDescent="0.2">
      <c r="A613"/>
      <c r="B613"/>
    </row>
    <row r="614" spans="1:2" hidden="1" x14ac:dyDescent="0.2">
      <c r="A614"/>
      <c r="B614"/>
    </row>
    <row r="615" spans="1:2" hidden="1" x14ac:dyDescent="0.2">
      <c r="A615"/>
      <c r="B615"/>
    </row>
    <row r="616" spans="1:2" hidden="1" x14ac:dyDescent="0.2">
      <c r="A616"/>
      <c r="B616"/>
    </row>
    <row r="617" spans="1:2" hidden="1" x14ac:dyDescent="0.2">
      <c r="A617"/>
      <c r="B617"/>
    </row>
    <row r="618" spans="1:2" hidden="1" x14ac:dyDescent="0.2">
      <c r="A618"/>
      <c r="B618"/>
    </row>
    <row r="619" spans="1:2" hidden="1" x14ac:dyDescent="0.2">
      <c r="A619"/>
      <c r="B619"/>
    </row>
    <row r="620" spans="1:2" hidden="1" x14ac:dyDescent="0.2">
      <c r="A620"/>
      <c r="B620"/>
    </row>
    <row r="621" spans="1:2" hidden="1" x14ac:dyDescent="0.2">
      <c r="A621"/>
      <c r="B621"/>
    </row>
    <row r="622" spans="1:2" hidden="1" x14ac:dyDescent="0.2">
      <c r="A622"/>
      <c r="B622"/>
    </row>
    <row r="623" spans="1:2" hidden="1" x14ac:dyDescent="0.2">
      <c r="A623"/>
      <c r="B623"/>
    </row>
    <row r="624" spans="1:2" hidden="1" x14ac:dyDescent="0.2">
      <c r="A624"/>
      <c r="B624"/>
    </row>
    <row r="625" spans="1:2" hidden="1" x14ac:dyDescent="0.2">
      <c r="A625"/>
      <c r="B625"/>
    </row>
    <row r="626" spans="1:2" hidden="1" x14ac:dyDescent="0.2">
      <c r="A626"/>
      <c r="B626"/>
    </row>
    <row r="627" spans="1:2" hidden="1" x14ac:dyDescent="0.2">
      <c r="A627"/>
      <c r="B627"/>
    </row>
    <row r="628" spans="1:2" hidden="1" x14ac:dyDescent="0.2">
      <c r="A628"/>
      <c r="B628"/>
    </row>
    <row r="629" spans="1:2" hidden="1" x14ac:dyDescent="0.2">
      <c r="A629"/>
      <c r="B629"/>
    </row>
    <row r="630" spans="1:2" hidden="1" x14ac:dyDescent="0.2">
      <c r="A630"/>
      <c r="B630"/>
    </row>
    <row r="631" spans="1:2" hidden="1" x14ac:dyDescent="0.2">
      <c r="A631"/>
      <c r="B631"/>
    </row>
    <row r="632" spans="1:2" hidden="1" x14ac:dyDescent="0.2">
      <c r="A632"/>
      <c r="B632"/>
    </row>
    <row r="633" spans="1:2" hidden="1" x14ac:dyDescent="0.2">
      <c r="A633"/>
      <c r="B633"/>
    </row>
    <row r="634" spans="1:2" hidden="1" x14ac:dyDescent="0.2">
      <c r="A634"/>
      <c r="B634"/>
    </row>
    <row r="635" spans="1:2" hidden="1" x14ac:dyDescent="0.2">
      <c r="A635"/>
      <c r="B635"/>
    </row>
    <row r="636" spans="1:2" hidden="1" x14ac:dyDescent="0.2">
      <c r="A636"/>
      <c r="B636"/>
    </row>
    <row r="637" spans="1:2" hidden="1" x14ac:dyDescent="0.2">
      <c r="A637"/>
      <c r="B637"/>
    </row>
    <row r="638" spans="1:2" hidden="1" x14ac:dyDescent="0.2">
      <c r="A638"/>
      <c r="B638"/>
    </row>
    <row r="639" spans="1:2" hidden="1" x14ac:dyDescent="0.2">
      <c r="A639"/>
      <c r="B639"/>
    </row>
    <row r="640" spans="1:2" hidden="1" x14ac:dyDescent="0.2">
      <c r="A640"/>
      <c r="B640"/>
    </row>
    <row r="641" spans="1:2" hidden="1" x14ac:dyDescent="0.2">
      <c r="A641"/>
      <c r="B641"/>
    </row>
    <row r="642" spans="1:2" hidden="1" x14ac:dyDescent="0.2">
      <c r="A642"/>
      <c r="B642"/>
    </row>
    <row r="643" spans="1:2" hidden="1" x14ac:dyDescent="0.2">
      <c r="A643"/>
      <c r="B643"/>
    </row>
    <row r="644" spans="1:2" hidden="1" x14ac:dyDescent="0.2">
      <c r="A644"/>
      <c r="B644"/>
    </row>
    <row r="645" spans="1:2" hidden="1" x14ac:dyDescent="0.2">
      <c r="A645"/>
      <c r="B645"/>
    </row>
    <row r="646" spans="1:2" hidden="1" x14ac:dyDescent="0.2">
      <c r="A646"/>
      <c r="B646"/>
    </row>
    <row r="647" spans="1:2" hidden="1" x14ac:dyDescent="0.2">
      <c r="A647"/>
      <c r="B647"/>
    </row>
    <row r="648" spans="1:2" hidden="1" x14ac:dyDescent="0.2">
      <c r="A648"/>
      <c r="B648"/>
    </row>
    <row r="649" spans="1:2" hidden="1" x14ac:dyDescent="0.2">
      <c r="A649"/>
      <c r="B649"/>
    </row>
    <row r="650" spans="1:2" hidden="1" x14ac:dyDescent="0.2">
      <c r="A650"/>
      <c r="B650"/>
    </row>
    <row r="651" spans="1:2" hidden="1" x14ac:dyDescent="0.2">
      <c r="A651"/>
      <c r="B651"/>
    </row>
    <row r="652" spans="1:2" hidden="1" x14ac:dyDescent="0.2">
      <c r="A652"/>
      <c r="B652"/>
    </row>
    <row r="653" spans="1:2" hidden="1" x14ac:dyDescent="0.2">
      <c r="A653"/>
      <c r="B653"/>
    </row>
    <row r="654" spans="1:2" hidden="1" x14ac:dyDescent="0.2">
      <c r="A654"/>
      <c r="B654"/>
    </row>
    <row r="655" spans="1:2" hidden="1" x14ac:dyDescent="0.2">
      <c r="A655"/>
      <c r="B655"/>
    </row>
    <row r="656" spans="1:2" hidden="1" x14ac:dyDescent="0.2">
      <c r="A656"/>
      <c r="B656"/>
    </row>
    <row r="657" spans="1:2" hidden="1" x14ac:dyDescent="0.2">
      <c r="A657"/>
      <c r="B657"/>
    </row>
    <row r="658" spans="1:2" hidden="1" x14ac:dyDescent="0.2">
      <c r="A658"/>
      <c r="B658"/>
    </row>
    <row r="659" spans="1:2" hidden="1" x14ac:dyDescent="0.2">
      <c r="A659"/>
      <c r="B659"/>
    </row>
    <row r="660" spans="1:2" hidden="1" x14ac:dyDescent="0.2">
      <c r="A660"/>
      <c r="B660"/>
    </row>
    <row r="661" spans="1:2" hidden="1" x14ac:dyDescent="0.2">
      <c r="A661"/>
      <c r="B661"/>
    </row>
    <row r="662" spans="1:2" hidden="1" x14ac:dyDescent="0.2">
      <c r="A662"/>
      <c r="B662"/>
    </row>
    <row r="663" spans="1:2" hidden="1" x14ac:dyDescent="0.2">
      <c r="A663"/>
      <c r="B663"/>
    </row>
    <row r="664" spans="1:2" hidden="1" x14ac:dyDescent="0.2">
      <c r="A664"/>
      <c r="B664"/>
    </row>
    <row r="665" spans="1:2" hidden="1" x14ac:dyDescent="0.2">
      <c r="A665"/>
      <c r="B665"/>
    </row>
    <row r="666" spans="1:2" hidden="1" x14ac:dyDescent="0.2">
      <c r="A666"/>
      <c r="B666"/>
    </row>
    <row r="667" spans="1:2" hidden="1" x14ac:dyDescent="0.2">
      <c r="A667"/>
      <c r="B667"/>
    </row>
    <row r="668" spans="1:2" hidden="1" x14ac:dyDescent="0.2">
      <c r="A668"/>
      <c r="B668"/>
    </row>
    <row r="669" spans="1:2" hidden="1" x14ac:dyDescent="0.2">
      <c r="A669"/>
      <c r="B669"/>
    </row>
    <row r="670" spans="1:2" hidden="1" x14ac:dyDescent="0.2">
      <c r="A670"/>
      <c r="B670"/>
    </row>
    <row r="671" spans="1:2" hidden="1" x14ac:dyDescent="0.2">
      <c r="A671"/>
      <c r="B671"/>
    </row>
    <row r="672" spans="1:2" hidden="1" x14ac:dyDescent="0.2">
      <c r="A672"/>
      <c r="B672"/>
    </row>
    <row r="673" spans="1:2" hidden="1" x14ac:dyDescent="0.2">
      <c r="A673"/>
      <c r="B673"/>
    </row>
    <row r="674" spans="1:2" hidden="1" x14ac:dyDescent="0.2">
      <c r="A674"/>
      <c r="B674"/>
    </row>
    <row r="675" spans="1:2" hidden="1" x14ac:dyDescent="0.2">
      <c r="A675"/>
      <c r="B675"/>
    </row>
    <row r="676" spans="1:2" hidden="1" x14ac:dyDescent="0.2">
      <c r="A676"/>
      <c r="B676"/>
    </row>
    <row r="677" spans="1:2" hidden="1" x14ac:dyDescent="0.2">
      <c r="A677"/>
      <c r="B677"/>
    </row>
    <row r="678" spans="1:2" hidden="1" x14ac:dyDescent="0.2">
      <c r="A678"/>
      <c r="B678"/>
    </row>
    <row r="679" spans="1:2" hidden="1" x14ac:dyDescent="0.2">
      <c r="A679"/>
      <c r="B679"/>
    </row>
    <row r="680" spans="1:2" hidden="1" x14ac:dyDescent="0.2">
      <c r="A680"/>
      <c r="B680"/>
    </row>
    <row r="681" spans="1:2" hidden="1" x14ac:dyDescent="0.2">
      <c r="A681"/>
      <c r="B681"/>
    </row>
    <row r="682" spans="1:2" hidden="1" x14ac:dyDescent="0.2">
      <c r="A682"/>
      <c r="B682"/>
    </row>
    <row r="683" spans="1:2" hidden="1" x14ac:dyDescent="0.2">
      <c r="A683"/>
      <c r="B683"/>
    </row>
    <row r="684" spans="1:2" hidden="1" x14ac:dyDescent="0.2">
      <c r="A684"/>
      <c r="B684"/>
    </row>
    <row r="685" spans="1:2" hidden="1" x14ac:dyDescent="0.2">
      <c r="A685"/>
      <c r="B685"/>
    </row>
    <row r="686" spans="1:2" hidden="1" x14ac:dyDescent="0.2">
      <c r="A686"/>
      <c r="B686"/>
    </row>
    <row r="687" spans="1:2" hidden="1" x14ac:dyDescent="0.2">
      <c r="A687"/>
      <c r="B687"/>
    </row>
    <row r="688" spans="1:2" hidden="1" x14ac:dyDescent="0.2">
      <c r="A688"/>
      <c r="B688"/>
    </row>
    <row r="689" spans="1:2" hidden="1" x14ac:dyDescent="0.2">
      <c r="A689"/>
      <c r="B689"/>
    </row>
    <row r="690" spans="1:2" hidden="1" x14ac:dyDescent="0.2">
      <c r="A690"/>
      <c r="B690"/>
    </row>
    <row r="691" spans="1:2" hidden="1" x14ac:dyDescent="0.2">
      <c r="A691"/>
      <c r="B691"/>
    </row>
    <row r="692" spans="1:2" hidden="1" x14ac:dyDescent="0.2">
      <c r="A692"/>
      <c r="B692"/>
    </row>
    <row r="693" spans="1:2" hidden="1" x14ac:dyDescent="0.2">
      <c r="A693"/>
      <c r="B693"/>
    </row>
    <row r="694" spans="1:2" hidden="1" x14ac:dyDescent="0.2">
      <c r="A694"/>
      <c r="B694"/>
    </row>
    <row r="695" spans="1:2" hidden="1" x14ac:dyDescent="0.2">
      <c r="A695"/>
      <c r="B695"/>
    </row>
    <row r="696" spans="1:2" x14ac:dyDescent="0.2"/>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23:M1048576 A3:A1048576 D16:E1048576 D1:F8 B1:C1048576 A1 H1:M8"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defaultColWidth="0" defaultRowHeight="0" customHeight="1" zeroHeight="1" x14ac:dyDescent="0.2"/>
  <cols>
    <col min="1" max="1" width="18.796875" style="55" customWidth="1"/>
    <col min="2" max="2" width="41.3984375" style="55" customWidth="1"/>
    <col min="3" max="4" width="19.59765625" style="55" customWidth="1"/>
    <col min="5" max="5" width="25.09765625" style="55" customWidth="1"/>
    <col min="6" max="9" width="19.59765625" style="55" customWidth="1"/>
    <col min="10" max="10" width="18.69921875" style="55" bestFit="1" customWidth="1"/>
    <col min="11" max="11" width="15.69921875" style="55" bestFit="1" customWidth="1"/>
    <col min="12" max="12" width="8.5" style="55" customWidth="1"/>
    <col min="13" max="13" width="0" style="55" hidden="1" customWidth="1"/>
    <col min="14" max="16384" width="8.5" style="55" hidden="1"/>
  </cols>
  <sheetData>
    <row r="1" spans="1:10" ht="23.25" hidden="1" customHeight="1" x14ac:dyDescent="0.2">
      <c r="A1" s="55" t="s">
        <v>1452</v>
      </c>
    </row>
    <row r="2" spans="1:10" s="178" customFormat="1" ht="36" customHeight="1" x14ac:dyDescent="0.2">
      <c r="A2" s="176" t="s">
        <v>1480</v>
      </c>
      <c r="B2" s="176"/>
      <c r="C2" s="176"/>
      <c r="D2" s="176"/>
      <c r="E2" s="176"/>
      <c r="F2" s="176"/>
      <c r="G2" s="176"/>
      <c r="H2" s="176"/>
      <c r="I2" s="177" t="str">
        <f>'Auto Responses'!$A$36</f>
        <v>Version 4.1.5</v>
      </c>
      <c r="J2" s="177"/>
    </row>
    <row r="3" spans="1:10" ht="21" customHeight="1" x14ac:dyDescent="0.2">
      <c r="A3" s="98"/>
      <c r="B3" s="98"/>
      <c r="C3" s="98"/>
      <c r="D3" s="98"/>
      <c r="E3" s="98"/>
      <c r="F3" s="98"/>
      <c r="G3" s="98"/>
      <c r="H3" s="98"/>
      <c r="I3" s="98"/>
      <c r="J3" s="98"/>
    </row>
    <row r="4" spans="1:10" ht="36" customHeight="1" x14ac:dyDescent="0.2">
      <c r="A4" s="99" t="s">
        <v>866</v>
      </c>
      <c r="B4" s="100"/>
      <c r="C4" s="100"/>
      <c r="D4" s="100"/>
      <c r="E4" s="100"/>
      <c r="F4" s="100"/>
      <c r="G4" s="100"/>
      <c r="H4" s="100"/>
      <c r="I4" s="100"/>
      <c r="J4" s="100"/>
    </row>
    <row r="5" spans="1:10" s="271" customFormat="1" ht="19.5" customHeight="1" x14ac:dyDescent="0.2">
      <c r="A5" s="251" t="str">
        <f>HLOOKUP($A$4,'Auto Responses'!$F$2:$F$7,2,0)&amp;""</f>
        <v>1. Upon initial review, you can check the "Non-Negotiable" box by any question to compile a report of questions that may prohibit a full review.</v>
      </c>
      <c r="B5" s="251"/>
      <c r="C5" s="251"/>
      <c r="D5" s="251"/>
      <c r="E5" s="251"/>
      <c r="F5" s="251"/>
      <c r="G5" s="251"/>
      <c r="H5" s="251"/>
      <c r="I5" s="251"/>
      <c r="J5" s="251"/>
    </row>
    <row r="6" spans="1:10" s="271" customFormat="1" ht="19.5" customHeight="1" x14ac:dyDescent="0.2">
      <c r="A6" s="251" t="str">
        <f>HLOOKUP($A$4,'Auto Responses'!$F$2:$F$7,3,0)&amp;""</f>
        <v>2. When evaluating an answer, a default importance level has been set. You can use the "Importance Override" dropdown to override the default and adjust the value of the question.</v>
      </c>
      <c r="B6" s="251"/>
      <c r="C6" s="251"/>
      <c r="D6" s="251"/>
      <c r="E6" s="251"/>
      <c r="F6" s="251"/>
      <c r="G6" s="251"/>
      <c r="H6" s="251"/>
      <c r="I6" s="251"/>
      <c r="J6" s="251"/>
    </row>
    <row r="7" spans="1:10" s="271" customFormat="1" ht="19.5" customHeight="1" x14ac:dyDescent="0.2">
      <c r="A7" s="251" t="str">
        <f>HLOOKUP($A$4,'Auto Responses'!$F$2:$F$7,4,0)&amp;""</f>
        <v>3. For questions that are qualitative or for which you disagree with the preferred response, make a selection in the "Compliant Override" dropdown to adjust the question's impact on the score.</v>
      </c>
      <c r="B7" s="251"/>
      <c r="C7" s="251"/>
      <c r="D7" s="251"/>
      <c r="E7" s="251"/>
      <c r="F7" s="251"/>
      <c r="G7" s="251"/>
      <c r="H7" s="251"/>
      <c r="I7" s="251"/>
      <c r="J7" s="251"/>
    </row>
    <row r="8" spans="1:10" s="271" customFormat="1" ht="19.5" customHeight="1" x14ac:dyDescent="0.2">
      <c r="A8" s="251" t="str">
        <f>HLOOKUP($A$4,'Auto Responses'!$F$2:$F$7,5,0)&amp;""</f>
        <v xml:space="preserve">4. Each worksheet shows a report for that section. See the "Analyst Report" sheet for a full report of all sections. </v>
      </c>
      <c r="B8" s="251"/>
      <c r="C8" s="251"/>
      <c r="D8" s="251"/>
      <c r="E8" s="251"/>
      <c r="F8" s="251"/>
      <c r="G8" s="251"/>
      <c r="H8" s="251"/>
      <c r="I8" s="251"/>
      <c r="J8" s="251"/>
    </row>
    <row r="9" spans="1:10" s="271" customFormat="1" ht="19.5" customHeight="1" x14ac:dyDescent="0.2">
      <c r="A9" s="251" t="str">
        <f>HLOOKUP($A$4,'Auto Responses'!$F$2:$F$7,6,0)&amp;""</f>
        <v xml:space="preserve">5. If you are evaluating a question that appears in an earlier section, the Importance and Compliant Override cannot be changed but additional notes can be added. </v>
      </c>
      <c r="B9" s="251"/>
      <c r="C9" s="251"/>
      <c r="D9" s="251"/>
      <c r="E9" s="251"/>
      <c r="F9" s="251"/>
      <c r="G9" s="251"/>
      <c r="H9" s="251"/>
      <c r="I9" s="251"/>
      <c r="J9" s="251"/>
    </row>
    <row r="10" spans="1:10" ht="19.5" customHeight="1" thickBot="1" x14ac:dyDescent="0.25">
      <c r="A10" s="252" t="str">
        <f>HLOOKUP($A$4,'Auto Responses'!$F$2:$F$8,7,0)&amp;""</f>
        <v>For full instructions, please visit EDUCAUSE.edu/HECVAT</v>
      </c>
      <c r="B10" s="61"/>
      <c r="C10" s="61"/>
      <c r="D10" s="61"/>
      <c r="E10" s="61"/>
      <c r="F10" s="61"/>
      <c r="G10" s="61"/>
      <c r="H10" s="61"/>
      <c r="I10" s="61"/>
      <c r="J10" s="61"/>
    </row>
    <row r="11" spans="1:10" s="89" customFormat="1" ht="25.5" customHeight="1" x14ac:dyDescent="0.2">
      <c r="A11" s="156" t="str">
        <f>'START HERE'!$B$13</f>
        <v>Solution Provider Name</v>
      </c>
      <c r="B11" s="142"/>
      <c r="C11" s="136" t="str">
        <f>VLOOKUP($A11,'START HERE'!$B$13:$C$21,2,0)&amp;""</f>
        <v/>
      </c>
      <c r="D11" s="137"/>
      <c r="E11" s="138"/>
      <c r="F11" s="90"/>
      <c r="G11" s="90"/>
      <c r="H11" s="95"/>
      <c r="I11" s="90"/>
      <c r="J11" s="90"/>
    </row>
    <row r="12" spans="1:10" s="89" customFormat="1" ht="25.5" customHeight="1" x14ac:dyDescent="0.2">
      <c r="A12" s="157" t="str">
        <f>'START HERE'!$B$16</f>
        <v>Solution Provider Contact Name</v>
      </c>
      <c r="B12" s="143"/>
      <c r="C12" s="135" t="str">
        <f>VLOOKUP($A12,'START HERE'!$B$13:$C$21,2,0)&amp;""</f>
        <v/>
      </c>
      <c r="D12" s="97"/>
      <c r="E12" s="139"/>
      <c r="F12" s="90"/>
      <c r="G12" s="90"/>
      <c r="H12" s="95"/>
      <c r="I12" s="90"/>
      <c r="J12" s="90"/>
    </row>
    <row r="13" spans="1:10" s="89" customFormat="1" ht="25.5" customHeight="1" x14ac:dyDescent="0.2">
      <c r="A13" s="157" t="str">
        <f>'START HERE'!$B$17</f>
        <v>Solution Provider Contact Title</v>
      </c>
      <c r="B13" s="143"/>
      <c r="C13" s="135" t="str">
        <f>VLOOKUP($A13,'START HERE'!$B$13:$C$21,2,0)&amp;""</f>
        <v/>
      </c>
      <c r="D13" s="97"/>
      <c r="E13" s="139"/>
      <c r="F13" s="90"/>
      <c r="G13" s="90"/>
      <c r="H13" s="95"/>
      <c r="I13" s="90"/>
      <c r="J13" s="90"/>
    </row>
    <row r="14" spans="1:10" s="89" customFormat="1" ht="25.5" customHeight="1" x14ac:dyDescent="0.2">
      <c r="A14" s="157" t="str">
        <f>'START HERE'!$B$18</f>
        <v>Solution Provider Contact Email</v>
      </c>
      <c r="B14" s="143"/>
      <c r="C14" s="135" t="str">
        <f>VLOOKUP($A14,'START HERE'!$B$13:$C$21,2,0)&amp;""</f>
        <v/>
      </c>
      <c r="D14" s="97"/>
      <c r="E14" s="139"/>
      <c r="F14" s="133"/>
      <c r="G14" s="134"/>
      <c r="H14" s="134"/>
      <c r="I14" s="134"/>
      <c r="J14" s="134"/>
    </row>
    <row r="15" spans="1:10" s="89" customFormat="1" ht="25.5" customHeight="1" x14ac:dyDescent="0.2">
      <c r="A15" s="157" t="str">
        <f>'START HERE'!$B$14</f>
        <v>Solution Name</v>
      </c>
      <c r="B15" s="143"/>
      <c r="C15" s="135" t="str">
        <f>VLOOKUP($A15,'START HERE'!$B$13:$C$21,2,0)&amp;""</f>
        <v/>
      </c>
      <c r="D15" s="97"/>
      <c r="E15" s="139"/>
      <c r="F15" s="133"/>
      <c r="G15" s="134"/>
      <c r="H15" s="134"/>
      <c r="I15" s="134"/>
      <c r="J15" s="134"/>
    </row>
    <row r="16" spans="1:10" s="89" customFormat="1" ht="25.5" customHeight="1" x14ac:dyDescent="0.2">
      <c r="A16" s="157" t="str">
        <f>'START HERE'!$B$15</f>
        <v>Solution Description</v>
      </c>
      <c r="B16" s="143"/>
      <c r="C16" s="135" t="str">
        <f>VLOOKUP($A16,'START HERE'!$B$13:$C$21,2,0)&amp;""</f>
        <v/>
      </c>
      <c r="D16" s="97"/>
      <c r="E16" s="139"/>
      <c r="F16" s="133"/>
      <c r="G16" s="134"/>
      <c r="H16" s="134"/>
      <c r="I16" s="134"/>
      <c r="J16" s="134"/>
    </row>
    <row r="17" spans="1:11" s="89" customFormat="1" ht="25.5" customHeight="1" thickBot="1" x14ac:dyDescent="0.25">
      <c r="A17" s="158" t="s">
        <v>948</v>
      </c>
      <c r="B17" s="144"/>
      <c r="C17" s="338">
        <f>'START HERE'!$C$3</f>
        <v>0</v>
      </c>
      <c r="D17" s="140"/>
      <c r="E17" s="141"/>
      <c r="F17" s="133"/>
      <c r="G17" s="134"/>
      <c r="H17" s="134"/>
      <c r="I17" s="134"/>
      <c r="J17" s="134"/>
    </row>
    <row r="18" spans="1:11" s="89" customFormat="1" ht="24.75" customHeight="1" x14ac:dyDescent="0.2">
      <c r="A18" s="90"/>
      <c r="B18" s="90"/>
      <c r="C18" s="259"/>
      <c r="D18" s="96"/>
      <c r="E18" s="90"/>
      <c r="F18" s="90"/>
      <c r="G18" s="90"/>
      <c r="H18" s="91"/>
      <c r="I18" s="91"/>
      <c r="J18" s="91"/>
    </row>
    <row r="19" spans="1:11" s="87" customFormat="1" ht="24" customHeight="1" thickBot="1" x14ac:dyDescent="0.25">
      <c r="A19" s="364"/>
      <c r="B19" s="364"/>
      <c r="C19" s="364"/>
      <c r="D19" s="88"/>
    </row>
    <row r="20" spans="1:11" ht="30" customHeight="1" thickBot="1" x14ac:dyDescent="0.25">
      <c r="A20" s="272" t="s">
        <v>1510</v>
      </c>
      <c r="B20" s="83" t="s">
        <v>947</v>
      </c>
      <c r="C20" s="110" t="s">
        <v>1511</v>
      </c>
      <c r="D20" s="82" t="s">
        <v>1512</v>
      </c>
      <c r="E20" s="109" t="s">
        <v>946</v>
      </c>
      <c r="F20" s="109" t="s">
        <v>945</v>
      </c>
      <c r="G20" s="125" t="s">
        <v>1862</v>
      </c>
      <c r="H20" s="126"/>
      <c r="I20" s="127"/>
    </row>
    <row r="21" spans="1:11" s="84" customFormat="1" ht="40.5" customHeight="1" x14ac:dyDescent="0.2">
      <c r="B21" s="85" t="str">
        <f>VLOOKUP($K21,'Auto Responses'!$N$4:$O$38,2,0)&amp;""</f>
        <v xml:space="preserve"> General Privacy</v>
      </c>
      <c r="C21" s="358"/>
      <c r="D21" s="111" t="str">
        <f>IF($C21=TRUE,SUMIF('(backend scoring)'!$B$3:$B$333,$K21,'(backend scoring)'!$O$3:$O$333),"")</f>
        <v/>
      </c>
      <c r="E21" s="118" t="str">
        <f>IF($C21=TRUE,SUMIF('(backend scoring)'!$B$3:$B$333,$K21,'(backend scoring)'!$P$3:$P$333),"")</f>
        <v/>
      </c>
      <c r="F21" s="146" t="str">
        <f>IFERROR($E21/$D21,'Auto Responses'!$J$5)</f>
        <v>N/A</v>
      </c>
      <c r="G21" s="222" t="str">
        <f>$G$20&amp;B21</f>
        <v>Jump to General Privacy</v>
      </c>
      <c r="H21" s="120"/>
      <c r="I21" s="122"/>
      <c r="K21" s="357" t="s">
        <v>907</v>
      </c>
    </row>
    <row r="22" spans="1:11" s="84" customFormat="1" ht="40.5" customHeight="1" x14ac:dyDescent="0.2">
      <c r="B22" s="85" t="str">
        <f>VLOOKUP($K22,'Auto Responses'!$N$4:$O$38,2,0)&amp;""</f>
        <v xml:space="preserve"> Privacy-Specific Company Details</v>
      </c>
      <c r="C22" s="117" t="b">
        <v>1</v>
      </c>
      <c r="D22" s="111">
        <f>IF($C22=TRUE,SUMIF('(backend scoring)'!$B$3:$B$333,$K22,'(backend scoring)'!$O$3:$O$333),"")</f>
        <v>30</v>
      </c>
      <c r="E22" s="118">
        <f>IF($C22=TRUE,SUMIF('(backend scoring)'!$B$3:$B$333,$K22,'(backend scoring)'!$P$3:$P$333),"")</f>
        <v>0</v>
      </c>
      <c r="F22" s="145">
        <f>IFERROR($E22/$D22,'Auto Responses'!$J$5)</f>
        <v>0</v>
      </c>
      <c r="G22" s="222" t="str">
        <f t="shared" ref="G22:G30" si="0">$G$20&amp;B22</f>
        <v>Jump to Privacy-Specific Company Details</v>
      </c>
      <c r="H22" s="119"/>
      <c r="I22" s="123"/>
      <c r="K22" s="357" t="s">
        <v>909</v>
      </c>
    </row>
    <row r="23" spans="1:11" s="84" customFormat="1" ht="40.5" customHeight="1" x14ac:dyDescent="0.2">
      <c r="B23" s="85" t="str">
        <f>VLOOKUP($K23,'Auto Responses'!$N$4:$O$38,2,0)&amp;""</f>
        <v xml:space="preserve"> Privacy-Specific Documentation</v>
      </c>
      <c r="C23" s="117" t="b">
        <v>1</v>
      </c>
      <c r="D23" s="111">
        <f>IF($C23=TRUE,SUMIF('(backend scoring)'!$B$3:$B$333,$K23,'(backend scoring)'!$O$3:$O$333),"")</f>
        <v>10</v>
      </c>
      <c r="E23" s="118">
        <f>IF($C23=TRUE,SUMIF('(backend scoring)'!$B$3:$B$333,$K23,'(backend scoring)'!$P$3:$P$333),"")</f>
        <v>0</v>
      </c>
      <c r="F23" s="145">
        <f>IFERROR($E23/$D23,'Auto Responses'!$J$5)</f>
        <v>0</v>
      </c>
      <c r="G23" s="222" t="str">
        <f t="shared" si="0"/>
        <v>Jump to Privacy-Specific Documentation</v>
      </c>
      <c r="H23" s="119"/>
      <c r="I23" s="123"/>
      <c r="K23" s="357" t="s">
        <v>911</v>
      </c>
    </row>
    <row r="24" spans="1:11" s="84" customFormat="1" ht="40.5" customHeight="1" x14ac:dyDescent="0.2">
      <c r="B24" s="85" t="str">
        <f>VLOOKUP($K24,'Auto Responses'!$N$4:$O$38,2,0)&amp;""</f>
        <v xml:space="preserve"> Privacy of Third Parties</v>
      </c>
      <c r="C24" s="117" t="b">
        <v>1</v>
      </c>
      <c r="D24" s="111">
        <f>IF($C24=TRUE,SUMIF('(backend scoring)'!$B$3:$B$333,$K24,'(backend scoring)'!$O$3:$O$333),"")</f>
        <v>25</v>
      </c>
      <c r="E24" s="118">
        <f>IF($C24=TRUE,SUMIF('(backend scoring)'!$B$3:$B$333,$K24,'(backend scoring)'!$P$3:$P$333),"")</f>
        <v>0</v>
      </c>
      <c r="F24" s="145">
        <f>IFERROR($E24/$D24,'Auto Responses'!$J$5)</f>
        <v>0</v>
      </c>
      <c r="G24" s="222" t="str">
        <f t="shared" si="0"/>
        <v>Jump to Privacy of Third Parties</v>
      </c>
      <c r="H24" s="119"/>
      <c r="I24" s="123"/>
      <c r="K24" s="357" t="s">
        <v>912</v>
      </c>
    </row>
    <row r="25" spans="1:11" s="84" customFormat="1" ht="40.5" customHeight="1" x14ac:dyDescent="0.2">
      <c r="B25" s="85" t="str">
        <f>VLOOKUP($K25,'Auto Responses'!$N$4:$O$38,2,0)&amp;""</f>
        <v xml:space="preserve"> Privacy Change Management</v>
      </c>
      <c r="C25" s="117" t="b">
        <v>1</v>
      </c>
      <c r="D25" s="111">
        <f>IF($C25=TRUE,SUMIF('(backend scoring)'!$B$3:$B$333,$K25,'(backend scoring)'!$O$3:$O$333),"")</f>
        <v>15</v>
      </c>
      <c r="E25" s="118">
        <f>IF($C25=TRUE,SUMIF('(backend scoring)'!$B$3:$B$333,$K25,'(backend scoring)'!$P$3:$P$333),"")</f>
        <v>0</v>
      </c>
      <c r="F25" s="145">
        <f>IFERROR($E25/$D25,'Auto Responses'!$J$5)</f>
        <v>0</v>
      </c>
      <c r="G25" s="222" t="str">
        <f t="shared" si="0"/>
        <v>Jump to Privacy Change Management</v>
      </c>
      <c r="H25" s="119"/>
      <c r="I25" s="123"/>
      <c r="K25" s="357" t="s">
        <v>914</v>
      </c>
    </row>
    <row r="26" spans="1:11" s="84" customFormat="1" ht="40.5" customHeight="1" x14ac:dyDescent="0.2">
      <c r="B26" s="85" t="str">
        <f>VLOOKUP($K26,'Auto Responses'!$N$4:$O$38,2,0)&amp;""</f>
        <v xml:space="preserve"> Privacy of Sensitive Data</v>
      </c>
      <c r="C26" s="117" t="b">
        <v>1</v>
      </c>
      <c r="D26" s="111">
        <f>IF($C26=TRUE,SUMIF('(backend scoring)'!$B$3:$B$333,$K26,'(backend scoring)'!$O$3:$O$333),"")</f>
        <v>80</v>
      </c>
      <c r="E26" s="118">
        <f>IF($C26=TRUE,SUMIF('(backend scoring)'!$B$3:$B$333,$K26,'(backend scoring)'!$P$3:$P$333),"")</f>
        <v>0</v>
      </c>
      <c r="F26" s="145">
        <f>IFERROR($E26/$D26,'Auto Responses'!$J$5)</f>
        <v>0</v>
      </c>
      <c r="G26" s="222" t="str">
        <f t="shared" si="0"/>
        <v>Jump to Privacy of Sensitive Data</v>
      </c>
      <c r="H26" s="119"/>
      <c r="I26" s="123"/>
      <c r="K26" s="357" t="s">
        <v>916</v>
      </c>
    </row>
    <row r="27" spans="1:11" s="84" customFormat="1" ht="40.5" customHeight="1" x14ac:dyDescent="0.2">
      <c r="B27" s="85" t="str">
        <f>VLOOKUP($K27,'Auto Responses'!$N$4:$O$38,2,0)&amp;""</f>
        <v xml:space="preserve"> Privacy Policies and Procedures</v>
      </c>
      <c r="C27" s="117" t="b">
        <v>1</v>
      </c>
      <c r="D27" s="111">
        <f>IF($C27=TRUE,SUMIF('(backend scoring)'!$B$3:$B$333,$K27,'(backend scoring)'!$O$3:$O$333),"")</f>
        <v>100</v>
      </c>
      <c r="E27" s="118">
        <f>IF($C27=TRUE,SUMIF('(backend scoring)'!$B$3:$B$333,$K27,'(backend scoring)'!$P$3:$P$333),"")</f>
        <v>0</v>
      </c>
      <c r="F27" s="145">
        <f>IFERROR($E27/$D27,'Auto Responses'!$J$5)</f>
        <v>0</v>
      </c>
      <c r="G27" s="222" t="str">
        <f t="shared" si="0"/>
        <v>Jump to Privacy Policies and Procedures</v>
      </c>
      <c r="H27" s="119"/>
      <c r="I27" s="123"/>
      <c r="K27" s="357" t="s">
        <v>918</v>
      </c>
    </row>
    <row r="28" spans="1:11" s="84" customFormat="1" ht="40.5" customHeight="1" x14ac:dyDescent="0.2">
      <c r="B28" s="85" t="str">
        <f>VLOOKUP($K28,'Auto Responses'!$N$4:$O$38,2,0)&amp;""</f>
        <v xml:space="preserve"> International Privacy</v>
      </c>
      <c r="C28" s="117" t="b">
        <v>1</v>
      </c>
      <c r="D28" s="111">
        <f>IF($C28=TRUE,SUMIF('(backend scoring)'!$B$3:$B$333,$K28,'(backend scoring)'!$O$3:$O$333),"")</f>
        <v>50</v>
      </c>
      <c r="E28" s="118">
        <f>IF($C28=TRUE,SUMIF('(backend scoring)'!$B$3:$B$333,$K28,'(backend scoring)'!$P$3:$P$333),"")</f>
        <v>0</v>
      </c>
      <c r="F28" s="145">
        <f>IFERROR($E28/$D28,'Auto Responses'!$J$5)</f>
        <v>0</v>
      </c>
      <c r="G28" s="222" t="str">
        <f t="shared" si="0"/>
        <v>Jump to International Privacy</v>
      </c>
      <c r="H28" s="119"/>
      <c r="I28" s="123"/>
      <c r="K28" s="357" t="s">
        <v>920</v>
      </c>
    </row>
    <row r="29" spans="1:11" s="84" customFormat="1" ht="40.5" customHeight="1" x14ac:dyDescent="0.2">
      <c r="B29" s="85" t="str">
        <f>VLOOKUP($K29,'Auto Responses'!$N$4:$O$38,2,0)&amp;""</f>
        <v xml:space="preserve"> Data Privacy</v>
      </c>
      <c r="C29" s="117" t="b">
        <v>1</v>
      </c>
      <c r="D29" s="111">
        <f>IF($C29=TRUE,SUMIF('(backend scoring)'!$B$3:$B$333,$K29,'(backend scoring)'!$O$3:$O$333),"")</f>
        <v>150</v>
      </c>
      <c r="E29" s="118">
        <f>IF($C29=TRUE,SUMIF('(backend scoring)'!$B$3:$B$333,$K29,'(backend scoring)'!$P$3:$P$333),"")</f>
        <v>0</v>
      </c>
      <c r="F29" s="145">
        <f>IFERROR($E29/$D29,'Auto Responses'!$J$5)</f>
        <v>0</v>
      </c>
      <c r="G29" s="222" t="str">
        <f t="shared" si="0"/>
        <v>Jump to Data Privacy</v>
      </c>
      <c r="H29" s="119"/>
      <c r="I29" s="123"/>
      <c r="K29" s="357" t="s">
        <v>1054</v>
      </c>
    </row>
    <row r="30" spans="1:11" s="84" customFormat="1" ht="40.5" customHeight="1" thickBot="1" x14ac:dyDescent="0.25">
      <c r="B30" s="85" t="str">
        <f>VLOOKUP($K30,'Auto Responses'!$N$4:$O$38,2,0)&amp;""</f>
        <v xml:space="preserve"> Privacy and AI</v>
      </c>
      <c r="C30" s="117" t="b">
        <v>1</v>
      </c>
      <c r="D30" s="111">
        <f>IF($C30=TRUE,SUMIF('(backend scoring)'!$B$3:$B$333,$K30,'(backend scoring)'!$O$3:$O$333),"")</f>
        <v>80</v>
      </c>
      <c r="E30" s="118">
        <f>IF($C30=TRUE,SUMIF('(backend scoring)'!$B$3:$B$333,$K30,'(backend scoring)'!$P$3:$P$333),"")</f>
        <v>0</v>
      </c>
      <c r="F30" s="145">
        <f>IFERROR($E30/$D30,'Auto Responses'!$J$5)</f>
        <v>0</v>
      </c>
      <c r="G30" s="222" t="str">
        <f t="shared" si="0"/>
        <v>Jump to Privacy and AI</v>
      </c>
      <c r="H30" s="119"/>
      <c r="I30" s="123"/>
      <c r="K30" s="357" t="s">
        <v>923</v>
      </c>
    </row>
    <row r="31" spans="1:11" s="84" customFormat="1" ht="30" customHeight="1" thickBot="1" x14ac:dyDescent="0.25">
      <c r="B31" s="83" t="s">
        <v>967</v>
      </c>
      <c r="C31" s="110"/>
      <c r="D31" s="112">
        <f>SUM(D21:D30)</f>
        <v>540</v>
      </c>
      <c r="E31" s="112">
        <f>SUM(E21:E30)</f>
        <v>0</v>
      </c>
      <c r="F31" s="81">
        <f>IFERROR($E31/$D31,'Auto Responses'!$J$5)</f>
        <v>0</v>
      </c>
      <c r="G31" s="128"/>
      <c r="H31" s="129"/>
      <c r="I31" s="130"/>
      <c r="J31" s="238" t="s">
        <v>1449</v>
      </c>
    </row>
    <row r="32" spans="1:11" ht="15" x14ac:dyDescent="0.2">
      <c r="F32" s="55" t="s">
        <v>943</v>
      </c>
    </row>
    <row r="33" spans="1:12" ht="15" x14ac:dyDescent="0.2"/>
    <row r="34" spans="1:12" ht="15" customHeight="1" x14ac:dyDescent="0.2"/>
    <row r="35" spans="1:12" s="180" customFormat="1" ht="36" customHeight="1" x14ac:dyDescent="0.2">
      <c r="A35" s="175" t="s">
        <v>1481</v>
      </c>
      <c r="B35" s="175"/>
      <c r="C35" s="179"/>
      <c r="D35" s="175"/>
      <c r="E35" s="175"/>
      <c r="F35" s="175"/>
      <c r="G35" s="175"/>
      <c r="H35" s="175"/>
      <c r="I35" s="175"/>
      <c r="J35" s="175"/>
      <c r="K35" s="175"/>
      <c r="L35" s="35"/>
    </row>
    <row r="36" spans="1:12" s="23" customFormat="1" ht="36" customHeight="1" x14ac:dyDescent="0.2">
      <c r="A36" s="24" t="s">
        <v>850</v>
      </c>
      <c r="B36" s="24"/>
      <c r="C36" s="69"/>
      <c r="D36" s="24"/>
      <c r="E36" s="24"/>
      <c r="F36" s="24"/>
      <c r="G36" s="24"/>
      <c r="H36" s="24"/>
      <c r="I36" s="24"/>
      <c r="J36" s="24"/>
      <c r="K36" s="24"/>
      <c r="L36" s="1"/>
    </row>
    <row r="37" spans="1:12" s="1" customFormat="1" ht="36" customHeight="1" x14ac:dyDescent="0.2">
      <c r="A37" s="11" t="s">
        <v>866</v>
      </c>
      <c r="B37" s="12"/>
      <c r="C37" s="13"/>
      <c r="D37" s="14"/>
      <c r="E37" s="14"/>
      <c r="F37" s="15"/>
      <c r="G37" s="15"/>
      <c r="H37" s="15"/>
      <c r="I37" s="15"/>
      <c r="J37" s="15"/>
      <c r="K37" s="15"/>
    </row>
    <row r="38" spans="1:12" s="1" customFormat="1" ht="19.5" customHeight="1" x14ac:dyDescent="0.2">
      <c r="A38" s="251" t="str">
        <f>HLOOKUP($A$4,'Auto Responses'!$F$2:$F$7,2,0)&amp;""</f>
        <v>1. Upon initial review, you can check the "Non-Negotiable" box by any question to compile a report of questions that may prohibit a full review.</v>
      </c>
      <c r="B38" s="251"/>
      <c r="C38" s="251"/>
      <c r="D38" s="251"/>
      <c r="E38" s="251"/>
      <c r="F38" s="251"/>
      <c r="G38" s="251"/>
      <c r="H38" s="251"/>
      <c r="I38" s="251"/>
      <c r="J38" s="251"/>
      <c r="K38" s="16"/>
    </row>
    <row r="39" spans="1:12" s="1" customFormat="1" ht="19.5" customHeight="1" x14ac:dyDescent="0.2">
      <c r="A39" s="251" t="str">
        <f>HLOOKUP($A$4,'Auto Responses'!$F$2:$F$7,3,0)&amp;""</f>
        <v>2. When evaluating an answer, a default importance level has been set. You can use the "Importance Override" dropdown to override the default and adjust the value of the question.</v>
      </c>
      <c r="B39" s="251"/>
      <c r="C39" s="251"/>
      <c r="D39" s="251"/>
      <c r="E39" s="251"/>
      <c r="F39" s="251"/>
      <c r="G39" s="251"/>
      <c r="H39" s="251"/>
      <c r="I39" s="251"/>
      <c r="J39" s="251"/>
      <c r="K39" s="16"/>
    </row>
    <row r="40" spans="1:12" s="1" customFormat="1" ht="19.5" customHeight="1" x14ac:dyDescent="0.2">
      <c r="A40" s="251" t="str">
        <f>HLOOKUP($A$4,'Auto Responses'!$F$2:$F$7,4,0)&amp;""</f>
        <v>3. For questions that are qualitative or for which you disagree with the preferred response, make a selection in the "Compliant Override" dropdown to adjust the question's impact on the score.</v>
      </c>
      <c r="B40" s="251"/>
      <c r="C40" s="251"/>
      <c r="D40" s="251"/>
      <c r="E40" s="251"/>
      <c r="F40" s="251"/>
      <c r="G40" s="251"/>
      <c r="H40" s="251"/>
      <c r="I40" s="251"/>
      <c r="J40" s="251"/>
      <c r="K40" s="16"/>
    </row>
    <row r="41" spans="1:12" s="1" customFormat="1" ht="19.5" customHeight="1" x14ac:dyDescent="0.2">
      <c r="A41" s="251" t="str">
        <f>HLOOKUP($A$4,'Auto Responses'!$F$2:$F$7,5,0)&amp;""</f>
        <v xml:space="preserve">4. Each worksheet shows a report for that section. See the "Analyst Report" sheet for a full report of all sections. </v>
      </c>
      <c r="B41" s="251"/>
      <c r="C41" s="251"/>
      <c r="D41" s="251"/>
      <c r="E41" s="251"/>
      <c r="F41" s="251"/>
      <c r="G41" s="251"/>
      <c r="H41" s="251"/>
      <c r="I41" s="251"/>
      <c r="J41" s="251"/>
      <c r="K41" s="16"/>
    </row>
    <row r="42" spans="1:12" s="1" customFormat="1" ht="19.5" customHeight="1" x14ac:dyDescent="0.2">
      <c r="A42" s="251" t="str">
        <f>HLOOKUP($A$4,'Auto Responses'!$F$2:$F$7,6,0)&amp;""</f>
        <v xml:space="preserve">5. If you are evaluating a question that appears in an earlier section, the Importance and Compliant Override cannot be changed but additional notes can be added. </v>
      </c>
      <c r="B42" s="251"/>
      <c r="C42" s="251"/>
      <c r="D42" s="251"/>
      <c r="E42" s="251"/>
      <c r="F42" s="251"/>
      <c r="G42" s="251"/>
      <c r="H42" s="251"/>
      <c r="I42" s="251"/>
      <c r="J42" s="251"/>
      <c r="K42" s="16"/>
    </row>
    <row r="43" spans="1:12" s="1" customFormat="1" ht="19.5" customHeight="1" thickBot="1" x14ac:dyDescent="0.25">
      <c r="A43" s="251" t="str">
        <f>HLOOKUP($A$4,'Auto Responses'!$F$2:$F$8,7,0)&amp;""</f>
        <v>For full instructions, please visit EDUCAUSE.edu/HECVAT</v>
      </c>
      <c r="B43" s="61"/>
      <c r="C43" s="61"/>
      <c r="D43" s="61"/>
      <c r="E43" s="61"/>
      <c r="F43" s="61"/>
      <c r="G43" s="61"/>
      <c r="H43" s="61"/>
      <c r="I43" s="61"/>
      <c r="J43" s="61"/>
      <c r="K43" s="16"/>
    </row>
    <row r="44" spans="1:12" s="23" customFormat="1" ht="41.25" customHeight="1" thickBot="1" x14ac:dyDescent="0.25">
      <c r="A44" s="25"/>
      <c r="B44" s="25"/>
      <c r="C44" s="70"/>
      <c r="D44" s="25"/>
      <c r="E44" s="25"/>
      <c r="F44" s="187" t="s">
        <v>849</v>
      </c>
      <c r="G44" s="182" t="s">
        <v>1034</v>
      </c>
      <c r="H44" s="183"/>
      <c r="I44" s="183"/>
      <c r="J44" s="183"/>
      <c r="K44" s="184"/>
      <c r="L44" s="1"/>
    </row>
    <row r="45" spans="1:12" s="29" customFormat="1" ht="48" customHeight="1" thickBot="1" x14ac:dyDescent="0.25">
      <c r="A45" s="26" t="s">
        <v>851</v>
      </c>
      <c r="B45" s="27" t="s">
        <v>1</v>
      </c>
      <c r="C45" s="27" t="s">
        <v>852</v>
      </c>
      <c r="D45" s="28" t="s">
        <v>72</v>
      </c>
      <c r="E45" s="307" t="s">
        <v>848</v>
      </c>
      <c r="F45" s="191" t="s">
        <v>1468</v>
      </c>
      <c r="G45" s="46" t="s">
        <v>869</v>
      </c>
      <c r="H45" s="43" t="s">
        <v>871</v>
      </c>
      <c r="I45" s="43" t="s">
        <v>19</v>
      </c>
      <c r="J45" s="44" t="s">
        <v>856</v>
      </c>
      <c r="K45" s="47" t="s">
        <v>867</v>
      </c>
      <c r="L45" s="1"/>
    </row>
    <row r="46" spans="1:12" s="1" customFormat="1" ht="18" x14ac:dyDescent="0.2">
      <c r="A46" s="63" t="str">
        <f>VLOOKUP(LEFT($A47,4),'Auto Responses'!$N$4:$O$38,2,0)&amp;""</f>
        <v xml:space="preserve"> General Privacy</v>
      </c>
      <c r="B46" s="22"/>
      <c r="C46" s="31"/>
      <c r="D46" s="31"/>
      <c r="E46" s="31"/>
      <c r="F46" s="132" t="s">
        <v>1030</v>
      </c>
      <c r="G46" s="335" t="s">
        <v>869</v>
      </c>
      <c r="H46" s="335" t="s">
        <v>871</v>
      </c>
      <c r="I46" s="335" t="s">
        <v>19</v>
      </c>
      <c r="J46" s="335" t="s">
        <v>856</v>
      </c>
      <c r="K46" s="31"/>
    </row>
    <row r="47" spans="1:12" s="29" customFormat="1" ht="75" x14ac:dyDescent="0.2">
      <c r="A47" s="19" t="s">
        <v>857</v>
      </c>
      <c r="B47" s="18" t="str">
        <f>VLOOKUP($A47,Questions!$A$2:$X$333,2,0)</f>
        <v>Does your solution process FERPA-related data?</v>
      </c>
      <c r="C47" s="45" t="str">
        <f>VLOOKUP($A47,Privacy!$A$13:$E$97,3,0)&amp;""</f>
        <v/>
      </c>
      <c r="D47" s="34" t="str">
        <f>IF(LEFT(VLOOKUP($A47,Privacy!$A$13:$E$97,5,0),21)='Auto Responses'!$A$32,'Auto Responses'!$A$33,VLOOKUP($A47,Privacy!$A$13:$E$97,4,0))&amp;""</f>
        <v/>
      </c>
      <c r="E47" s="332" t="str">
        <f>VLOOKUP($A47,Privacy!$A$13:$E$97,5,0)&amp;""</f>
        <v>FERPA-related data includes any data maintained by (or on behalf of) the institution that is directly related to an identifiable student.</v>
      </c>
      <c r="F47" s="188"/>
      <c r="G47" s="30" t="str">
        <f>VLOOKUP($A47,Questions!$A$2:$X$333,21,0)&amp;""</f>
        <v>Not scored</v>
      </c>
      <c r="H47" s="185"/>
      <c r="I47" s="45" t="str">
        <f>VLOOKUP($A47,Questions!$A$2:$X$333,23,0)&amp;""</f>
        <v/>
      </c>
      <c r="J47" s="185"/>
      <c r="K47" s="48" t="b">
        <v>0</v>
      </c>
      <c r="L47" s="1"/>
    </row>
    <row r="48" spans="1:12" s="29" customFormat="1" ht="180" x14ac:dyDescent="0.2">
      <c r="A48" s="19" t="s">
        <v>858</v>
      </c>
      <c r="B48" s="18" t="str">
        <f>VLOOKUP($A48,Questions!$A$2:$X$333,2,0)</f>
        <v>Does your solution process GDPR-related or PIPL-related data?</v>
      </c>
      <c r="C48" s="45" t="str">
        <f>VLOOKUP($A48,Privacy!$A$13:$E$97,3,0)&amp;""</f>
        <v/>
      </c>
      <c r="D48" s="34" t="str">
        <f>IF(LEFT(VLOOKUP($A48,Privacy!$A$13:$E$97,5,0),21)='Auto Responses'!$A$32,'Auto Responses'!$A$33,VLOOKUP($A48,Privacy!$A$13:$E$97,4,0))&amp;""</f>
        <v/>
      </c>
      <c r="E48" s="332" t="str">
        <f>VLOOKUP($A48,Privacy!$A$13:$E$97,5,0)&amp;""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48" s="188"/>
      <c r="G48" s="30" t="str">
        <f>VLOOKUP($A48,Questions!$A$2:$X$333,21,0)&amp;""</f>
        <v>Not scored</v>
      </c>
      <c r="H48" s="185"/>
      <c r="I48" s="45" t="str">
        <f>VLOOKUP($A48,Questions!$A$2:$X$333,23,0)&amp;""</f>
        <v/>
      </c>
      <c r="J48" s="185"/>
      <c r="K48" s="48" t="b">
        <v>0</v>
      </c>
      <c r="L48" s="1"/>
    </row>
    <row r="49" spans="1:12" s="29" customFormat="1" ht="28.5" x14ac:dyDescent="0.2">
      <c r="A49" s="19" t="s">
        <v>859</v>
      </c>
      <c r="B49" s="18" t="str">
        <f>VLOOKUP($A49,Questions!$A$2:$X$333,2,0)</f>
        <v>Does your solution process personal data regulated by state law(s) (e.g., CCPA)?</v>
      </c>
      <c r="C49" s="45" t="str">
        <f>VLOOKUP($A49,Privacy!$A$13:$E$97,3,0)&amp;""</f>
        <v/>
      </c>
      <c r="D49" s="34" t="str">
        <f>IF(LEFT(VLOOKUP($A49,Privacy!$A$13:$E$97,5,0),21)='Auto Responses'!$A$32,'Auto Responses'!$A$33,VLOOKUP($A49,Privacy!$A$13:$E$97,4,0))&amp;""</f>
        <v/>
      </c>
      <c r="E49" s="332" t="str">
        <f>VLOOKUP($A49,Privacy!$A$13:$E$97,5,0)&amp;""</f>
        <v/>
      </c>
      <c r="F49" s="188"/>
      <c r="G49" s="30" t="str">
        <f>VLOOKUP($A49,Questions!$A$2:$X$333,21,0)&amp;""</f>
        <v>Not scored</v>
      </c>
      <c r="H49" s="185"/>
      <c r="I49" s="45" t="str">
        <f>VLOOKUP($A49,Questions!$A$2:$X$333,23,0)&amp;""</f>
        <v/>
      </c>
      <c r="J49" s="185"/>
      <c r="K49" s="48" t="b">
        <v>0</v>
      </c>
      <c r="L49" s="1"/>
    </row>
    <row r="50" spans="1:12" s="29" customFormat="1" ht="28.5" x14ac:dyDescent="0.2">
      <c r="A50" s="19" t="s">
        <v>860</v>
      </c>
      <c r="B50" s="18" t="str">
        <f>VLOOKUP($A50,Questions!$A$2:$X$333,2,0)</f>
        <v>Does your solution process user-provided data that may contain regulated information?</v>
      </c>
      <c r="C50" s="45" t="str">
        <f>VLOOKUP($A50,Privacy!$A$13:$E$97,3,0)&amp;""</f>
        <v/>
      </c>
      <c r="D50" s="34" t="str">
        <f>IF(LEFT(VLOOKUP($A50,Privacy!$A$13:$E$97,5,0),21)='Auto Responses'!$A$32,'Auto Responses'!$A$33,VLOOKUP($A50,Privacy!$A$13:$E$97,4,0))&amp;""</f>
        <v/>
      </c>
      <c r="E50" s="332" t="str">
        <f>VLOOKUP($A50,Privacy!$A$13:$E$97,5,0)&amp;""</f>
        <v/>
      </c>
      <c r="F50" s="188"/>
      <c r="G50" s="30" t="str">
        <f>VLOOKUP($A50,Questions!$A$2:$X$333,21,0)&amp;""</f>
        <v>Not scored</v>
      </c>
      <c r="H50" s="185"/>
      <c r="I50" s="45" t="str">
        <f>VLOOKUP($A50,Questions!$A$2:$X$333,23,0)&amp;""</f>
        <v/>
      </c>
      <c r="J50" s="185"/>
      <c r="K50" s="48" t="b">
        <v>0</v>
      </c>
      <c r="L50" s="1"/>
    </row>
    <row r="51" spans="1:12" s="29" customFormat="1" ht="90" x14ac:dyDescent="0.2">
      <c r="A51" s="19" t="s">
        <v>861</v>
      </c>
      <c r="B51" s="18" t="str">
        <f>VLOOKUP($A51,Questions!$A$2:$X$333,2,0)</f>
        <v>Web Link to Product/Service Privacy Notice</v>
      </c>
      <c r="C51" s="305" t="str">
        <f>VLOOKUP($A51,Privacy!$A$13:$E$97,3,0)&amp;""</f>
        <v/>
      </c>
      <c r="D51" s="34" t="str">
        <f>IF(LEFT(VLOOKUP($A51,Privacy!$A$13:$E$97,5,0),21)='Auto Responses'!$A$32,'Auto Responses'!$A$33,VLOOKUP($A51,Privacy!$A$13:$E$97,4,0))&amp;""</f>
        <v/>
      </c>
      <c r="E51" s="332" t="str">
        <f>VLOOKUP($A51,Privacy!$A$13:$E$97,5,0)&amp;""</f>
        <v>If multiple notices are implicated, provide all that apply. If any other documents are incorporated by reference, provide them as well.</v>
      </c>
      <c r="F51" s="188"/>
      <c r="G51" s="30" t="str">
        <f>VLOOKUP($A51,Questions!$A$2:$X$333,21,0)&amp;""</f>
        <v>Not scored</v>
      </c>
      <c r="H51" s="185"/>
      <c r="I51" s="45" t="str">
        <f>VLOOKUP($A51,Questions!$A$2:$X$333,23,0)&amp;""</f>
        <v/>
      </c>
      <c r="J51" s="185"/>
      <c r="K51" s="48" t="b">
        <v>0</v>
      </c>
      <c r="L51" s="1"/>
    </row>
    <row r="52" spans="1:12" s="1" customFormat="1" ht="18" x14ac:dyDescent="0.2">
      <c r="A52" s="63" t="str">
        <f>VLOOKUP(LEFT($A53,4),'Auto Responses'!$N$4:$O$38,2,0)&amp;""</f>
        <v xml:space="preserve"> Privacy-Specific Company Details</v>
      </c>
      <c r="B52" s="22"/>
      <c r="C52" s="31"/>
      <c r="D52" s="31"/>
      <c r="E52" s="331"/>
      <c r="F52" s="132" t="s">
        <v>1030</v>
      </c>
      <c r="G52" s="335" t="s">
        <v>869</v>
      </c>
      <c r="H52" s="335" t="s">
        <v>871</v>
      </c>
      <c r="I52" s="335" t="s">
        <v>19</v>
      </c>
      <c r="J52" s="335" t="s">
        <v>856</v>
      </c>
      <c r="K52" s="31"/>
    </row>
    <row r="53" spans="1:12" s="29" customFormat="1" ht="71.25" x14ac:dyDescent="0.2">
      <c r="A53" s="19" t="s">
        <v>697</v>
      </c>
      <c r="B53" s="18" t="str">
        <f>VLOOKUP($A53,Questions!$A$2:$X$333,2,0)</f>
        <v>Have you had a personal data breach in the past three years that involved reporting to a governmental agency, notice to individuals (including voluntary notice), or notice to another organization or institution?*</v>
      </c>
      <c r="C53" s="45" t="str">
        <f>VLOOKUP($A53,Privacy!$A$13:$E$97,3,0)&amp;""</f>
        <v/>
      </c>
      <c r="D53" s="34" t="str">
        <f>IF(LEFT(VLOOKUP($A53,Privacy!$A$13:$E$97,5,0),21)='Auto Responses'!$A$32,'Auto Responses'!$A$33,VLOOKUP($A53,Privacy!$A$13:$E$97,4,0))&amp;""</f>
        <v/>
      </c>
      <c r="E53" s="330" t="str">
        <f>VLOOKUP($A53,Privacy!$A$13:$E$97,5,0)&amp;""</f>
        <v/>
      </c>
      <c r="F53" s="188"/>
      <c r="G53" s="30" t="str">
        <f>VLOOKUP($A53,Questions!$A$2:$X$333,21,0)&amp;""</f>
        <v>No</v>
      </c>
      <c r="H53" s="185"/>
      <c r="I53" s="45" t="str">
        <f>VLOOKUP($A53,Questions!$A$2:$X$333,23,0)&amp;""</f>
        <v>Critical Importance</v>
      </c>
      <c r="J53" s="185"/>
      <c r="K53" s="48" t="b">
        <v>0</v>
      </c>
      <c r="L53" s="1"/>
    </row>
    <row r="54" spans="1:12" s="29" customFormat="1" ht="60" x14ac:dyDescent="0.2">
      <c r="A54" s="19" t="s">
        <v>699</v>
      </c>
      <c r="B54" s="18" t="str">
        <f>VLOOKUP($A54,Questions!$A$2:$X$333,2,0)</f>
        <v>Use this area to share information about your privacy practices that will assist those who are assessing your company data privacy program.*</v>
      </c>
      <c r="C54" s="305" t="str">
        <f>VLOOKUP($A54,Privacy!$A$13:$E$97,3,0)&amp;""</f>
        <v/>
      </c>
      <c r="D54" s="34" t="str">
        <f>IF(LEFT(VLOOKUP($A54,Privacy!$A$13:$E$97,5,0),21)='Auto Responses'!$A$32,'Auto Responses'!$A$33,VLOOKUP($A54,Privacy!$A$13:$E$97,4,0))&amp;""</f>
        <v/>
      </c>
      <c r="E54" s="330" t="str">
        <f>VLOOKUP($A54,Privacy!$A$13:$E$97,5,0)&amp;""</f>
        <v>Share any additional details that would help data privacy analysts assess your solution.</v>
      </c>
      <c r="F54" s="188"/>
      <c r="G54" s="30" t="str">
        <f>VLOOKUP($A54,Questions!$A$2:$X$333,21,0)&amp;""</f>
        <v>Not scored</v>
      </c>
      <c r="H54" s="185"/>
      <c r="I54" s="45" t="str">
        <f>VLOOKUP($A54,Questions!$A$2:$X$333,23,0)&amp;""</f>
        <v/>
      </c>
      <c r="J54" s="185"/>
      <c r="K54" s="48" t="b">
        <v>0</v>
      </c>
      <c r="L54" s="1"/>
    </row>
    <row r="55" spans="1:12" s="29" customFormat="1" ht="42.75" x14ac:dyDescent="0.2">
      <c r="A55" s="19" t="s">
        <v>700</v>
      </c>
      <c r="B55" s="18" t="str">
        <f>VLOOKUP($A55,Questions!$A$2:$X$333,2,0)</f>
        <v>Have you had any violations of your internal privacy policies or violations of applicable privacy law in the past 36 months?</v>
      </c>
      <c r="C55" s="45" t="str">
        <f>VLOOKUP($A55,Privacy!$A$13:$E$97,3,0)&amp;""</f>
        <v/>
      </c>
      <c r="D55" s="34" t="str">
        <f>IF(LEFT(VLOOKUP($A55,Privacy!$A$13:$E$97,5,0),21)='Auto Responses'!$A$32,'Auto Responses'!$A$33,VLOOKUP($A55,Privacy!$A$13:$E$97,4,0))&amp;""</f>
        <v/>
      </c>
      <c r="E55" s="330" t="str">
        <f>VLOOKUP($A55,Privacy!$A$13:$E$97,5,0)&amp;""</f>
        <v/>
      </c>
      <c r="F55" s="188"/>
      <c r="G55" s="30" t="str">
        <f>VLOOKUP($A55,Questions!$A$2:$X$333,21,0)&amp;""</f>
        <v>No</v>
      </c>
      <c r="H55" s="185"/>
      <c r="I55" s="45" t="str">
        <f>VLOOKUP($A55,Questions!$A$2:$X$333,23,0)&amp;""</f>
        <v>Minor Importance</v>
      </c>
      <c r="J55" s="185"/>
      <c r="K55" s="48" t="b">
        <v>0</v>
      </c>
      <c r="L55" s="1"/>
    </row>
    <row r="56" spans="1:12" s="29" customFormat="1" ht="60" x14ac:dyDescent="0.2">
      <c r="A56" s="19" t="s">
        <v>701</v>
      </c>
      <c r="B56" s="18" t="str">
        <f>VLOOKUP($A56,Questions!$A$2:$X$333,2,0)</f>
        <v>Do you have a dedicated data privacy staff or office?</v>
      </c>
      <c r="C56" s="45" t="str">
        <f>VLOOKUP($A56,Privacy!$A$13:$E$97,3,0)&amp;""</f>
        <v/>
      </c>
      <c r="D56" s="34" t="str">
        <f>IF(LEFT(VLOOKUP($A56,Privacy!$A$13:$E$97,5,0),21)='Auto Responses'!$A$32,'Auto Responses'!$A$33,VLOOKUP($A56,Privacy!$A$13:$E$97,4,0))&amp;""</f>
        <v/>
      </c>
      <c r="E56" s="330" t="str">
        <f>VLOOKUP($A56,Privacy!$A$13:$E$97,5,0)&amp;""</f>
        <v>This can include another office, such as information security, dedicated to privacy protection.</v>
      </c>
      <c r="F56" s="188"/>
      <c r="G56" s="30" t="str">
        <f>VLOOKUP($A56,Questions!$A$2:$X$333,21,0)&amp;""</f>
        <v>Yes</v>
      </c>
      <c r="H56" s="185"/>
      <c r="I56" s="45" t="str">
        <f>VLOOKUP($A56,Questions!$A$2:$X$333,23,0)&amp;""</f>
        <v>Minor Importance</v>
      </c>
      <c r="J56" s="185"/>
      <c r="K56" s="48" t="b">
        <v>0</v>
      </c>
      <c r="L56" s="1"/>
    </row>
    <row r="57" spans="1:12" s="1" customFormat="1" ht="18" x14ac:dyDescent="0.2">
      <c r="A57" s="63" t="str">
        <f>VLOOKUP(LEFT($A58,4),'Auto Responses'!$N$4:$O$38,2,0)&amp;""</f>
        <v xml:space="preserve"> Privacy-Specific Documentation</v>
      </c>
      <c r="B57" s="22"/>
      <c r="C57" s="31"/>
      <c r="D57" s="31"/>
      <c r="E57" s="331"/>
      <c r="F57" s="132" t="s">
        <v>1030</v>
      </c>
      <c r="G57" s="335" t="s">
        <v>869</v>
      </c>
      <c r="H57" s="335" t="s">
        <v>871</v>
      </c>
      <c r="I57" s="335" t="s">
        <v>19</v>
      </c>
      <c r="J57" s="335" t="s">
        <v>856</v>
      </c>
      <c r="K57" s="31"/>
    </row>
    <row r="58" spans="1:12" s="29" customFormat="1" ht="120" x14ac:dyDescent="0.2">
      <c r="A58" s="19" t="s">
        <v>702</v>
      </c>
      <c r="B58" s="18" t="str">
        <f>VLOOKUP($A58,Questions!$A$2:$X$333,2,0)</f>
        <v>If you have completed a SOC 2 audit, does it include the Privacy Trust Service Principle?</v>
      </c>
      <c r="C58" s="45" t="str">
        <f>VLOOKUP($A58,Privacy!$A$13:$E$97,3,0)&amp;""</f>
        <v/>
      </c>
      <c r="D58" s="34" t="str">
        <f>IF(LEFT(VLOOKUP($A58,Privacy!$A$13:$E$97,5,0),21)='Auto Responses'!$A$32,'Auto Responses'!$A$33,VLOOKUP($A58,Privacy!$A$13:$E$97,4,0))&amp;""</f>
        <v/>
      </c>
      <c r="E58" s="330" t="str">
        <f>VLOOKUP($A58,Privacy!$A$13:$E$97,5,0)&amp;""</f>
        <v>SOC 2 Type II audits can be conducted for any or all of five trust principles (confidentiality, integrity, availability, security, and privacy). Answer "yes" if your audit included the privacy principle.</v>
      </c>
      <c r="F58" s="188"/>
      <c r="G58" s="30" t="str">
        <f>VLOOKUP($A58,Questions!$A$2:$X$333,21,0)&amp;""</f>
        <v>Not scored</v>
      </c>
      <c r="H58" s="185"/>
      <c r="I58" s="45" t="str">
        <f>VLOOKUP($A58,Questions!$A$2:$X$333,23,0)&amp;""</f>
        <v/>
      </c>
      <c r="J58" s="185"/>
      <c r="K58" s="48" t="b">
        <v>0</v>
      </c>
      <c r="L58" s="1"/>
    </row>
    <row r="59" spans="1:12" s="29" customFormat="1" ht="150" x14ac:dyDescent="0.2">
      <c r="A59" s="19" t="s">
        <v>703</v>
      </c>
      <c r="B59" s="18" t="str">
        <f>VLOOKUP($A59,Questions!$A$2:$X$333,2,0)</f>
        <v>Do you conform with a specific industry-standard privacy framework (e.g., NIST Privacy Framework, GDPR, ISO 27701)?</v>
      </c>
      <c r="C59" s="45" t="str">
        <f>VLOOKUP($A59,Privacy!$A$13:$E$97,3,0)&amp;""</f>
        <v/>
      </c>
      <c r="D59" s="34" t="str">
        <f>IF(LEFT(VLOOKUP($A59,Privacy!$A$13:$E$97,5,0),21)='Auto Responses'!$A$32,'Auto Responses'!$A$33,VLOOKUP($A59,Privacy!$A$13:$E$97,4,0))&amp;""</f>
        <v/>
      </c>
      <c r="E59" s="330" t="str">
        <f>VLOOKUP($A59,Privacy!$A$13:$E$97,5,0)&amp;""</f>
        <v>Standard privacy frameworks help organizations enhance data protection, mitigate privacy risks, and demonstrate compliance with appropriate industry and regulatory standards. This is particularly important when providing services in different jurisdictions.</v>
      </c>
      <c r="F59" s="188"/>
      <c r="G59" s="30" t="str">
        <f>VLOOKUP($A59,Questions!$A$2:$X$333,21,0)&amp;""</f>
        <v>Not scored</v>
      </c>
      <c r="H59" s="185"/>
      <c r="I59" s="45" t="str">
        <f>VLOOKUP($A59,Questions!$A$2:$X$333,23,0)&amp;""</f>
        <v/>
      </c>
      <c r="J59" s="185"/>
      <c r="K59" s="48" t="b">
        <v>0</v>
      </c>
      <c r="L59" s="1"/>
    </row>
    <row r="60" spans="1:12" s="29" customFormat="1" ht="42.75" x14ac:dyDescent="0.2">
      <c r="A60" s="19" t="s">
        <v>704</v>
      </c>
      <c r="B60" s="18" t="str">
        <f>VLOOKUP($A60,Questions!$A$2:$X$333,2,0)</f>
        <v>Does your employee onboarding and offboarding policy include training of employees on information security and data privacy?</v>
      </c>
      <c r="C60" s="45" t="str">
        <f>VLOOKUP($A60,Privacy!$A$13:$E$97,3,0)&amp;""</f>
        <v/>
      </c>
      <c r="D60" s="34" t="str">
        <f>IF(LEFT(VLOOKUP($A60,Privacy!$A$13:$E$97,5,0),21)='Auto Responses'!$A$32,'Auto Responses'!$A$33,VLOOKUP($A60,Privacy!$A$13:$E$97,4,0))&amp;""</f>
        <v/>
      </c>
      <c r="E60" s="330" t="str">
        <f>VLOOKUP($A60,Privacy!$A$13:$E$97,5,0)&amp;""</f>
        <v/>
      </c>
      <c r="F60" s="188"/>
      <c r="G60" s="30" t="str">
        <f>VLOOKUP($A60,Questions!$A$2:$X$333,21,0)&amp;""</f>
        <v>Yes</v>
      </c>
      <c r="H60" s="185"/>
      <c r="I60" s="45" t="str">
        <f>VLOOKUP($A60,Questions!$A$2:$X$333,23,0)&amp;""</f>
        <v>Standard Importance</v>
      </c>
      <c r="J60" s="185"/>
      <c r="K60" s="48" t="b">
        <v>0</v>
      </c>
      <c r="L60" s="1"/>
    </row>
    <row r="61" spans="1:12" s="1" customFormat="1" ht="18" x14ac:dyDescent="0.2">
      <c r="A61" s="63" t="str">
        <f>VLOOKUP(LEFT($A62,4),'Auto Responses'!$N$4:$O$38,2,0)&amp;""</f>
        <v xml:space="preserve"> Privacy of Third Parties</v>
      </c>
      <c r="B61" s="22"/>
      <c r="C61" s="31"/>
      <c r="D61" s="31"/>
      <c r="E61" s="331"/>
      <c r="F61" s="132" t="s">
        <v>1030</v>
      </c>
      <c r="G61" s="335" t="s">
        <v>869</v>
      </c>
      <c r="H61" s="335" t="s">
        <v>871</v>
      </c>
      <c r="I61" s="335" t="s">
        <v>19</v>
      </c>
      <c r="J61" s="335" t="s">
        <v>856</v>
      </c>
      <c r="K61" s="31"/>
    </row>
    <row r="62" spans="1:12" s="29" customFormat="1" ht="165" x14ac:dyDescent="0.2">
      <c r="A62" s="19" t="s">
        <v>706</v>
      </c>
      <c r="B62" s="18" t="str">
        <f>VLOOKUP($A62,Questions!$A$2:$X$333,2,0)</f>
        <v>Do you have contractual agreements with third parties that require them to maintain standards and to comply with all regulatory requirements?*</v>
      </c>
      <c r="C62" s="45" t="str">
        <f>VLOOKUP($A62,Privacy!$A$13:$E$97,3,0)&amp;""</f>
        <v/>
      </c>
      <c r="D62" s="34" t="str">
        <f>IF(LEFT(VLOOKUP($A62,Privacy!$A$13:$E$97,5,0),21)='Auto Responses'!$A$32,'Auto Responses'!$A$33,VLOOKUP($A62,Privacy!$A$13:$E$97,4,0))&amp;""</f>
        <v/>
      </c>
      <c r="E62" s="330" t="str">
        <f>VLOOKUP($A62,Privacy!$A$13:$E$97,5,0)&amp;""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62" s="188"/>
      <c r="G62" s="30" t="str">
        <f>VLOOKUP($A62,Questions!$A$2:$X$333,21,0)&amp;""</f>
        <v>Yes</v>
      </c>
      <c r="H62" s="185"/>
      <c r="I62" s="45" t="str">
        <f>VLOOKUP($A62,Questions!$A$2:$X$333,23,0)&amp;""</f>
        <v>Critical Importance</v>
      </c>
      <c r="J62" s="185"/>
      <c r="K62" s="48" t="b">
        <v>0</v>
      </c>
      <c r="L62" s="1"/>
    </row>
    <row r="63" spans="1:12" s="29" customFormat="1" ht="195" x14ac:dyDescent="0.2">
      <c r="A63" s="19" t="s">
        <v>708</v>
      </c>
      <c r="B63" s="18" t="str">
        <f>VLOOKUP($A63,Questions!$A$2:$X$333,2,0)</f>
        <v>Do you perform privacy impact assessments of third parties that collect, process, or have access to personal data to ensure they meet industry and regulatory standards and to mitigate harmful, unethical, or discriminatory impacts on data subjects?</v>
      </c>
      <c r="C63" s="45" t="str">
        <f>VLOOKUP($A63,Privacy!$A$13:$E$97,3,0)&amp;""</f>
        <v/>
      </c>
      <c r="D63" s="34" t="str">
        <f>IF(LEFT(VLOOKUP($A63,Privacy!$A$13:$E$97,5,0),21)='Auto Responses'!$A$32,'Auto Responses'!$A$33,VLOOKUP($A63,Privacy!$A$13:$E$97,4,0))&amp;""</f>
        <v/>
      </c>
      <c r="E63" s="330" t="str">
        <f>VLOOKUP($A63,Privacy!$A$13:$E$97,5,0)&amp;""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63" s="188"/>
      <c r="G63" s="30" t="str">
        <f>VLOOKUP($A63,Questions!$A$2:$X$333,21,0)&amp;""</f>
        <v>Yes</v>
      </c>
      <c r="H63" s="185"/>
      <c r="I63" s="45" t="str">
        <f>VLOOKUP($A63,Questions!$A$2:$X$333,23,0)&amp;""</f>
        <v>Minor Importance</v>
      </c>
      <c r="J63" s="185"/>
      <c r="K63" s="48" t="b">
        <v>0</v>
      </c>
      <c r="L63" s="1"/>
    </row>
    <row r="64" spans="1:12" s="1" customFormat="1" ht="18" x14ac:dyDescent="0.2">
      <c r="A64" s="63" t="str">
        <f>VLOOKUP(LEFT($A65,4),'Auto Responses'!$N$4:$O$38,2,0)&amp;""</f>
        <v xml:space="preserve"> Privacy Change Management</v>
      </c>
      <c r="B64" s="22"/>
      <c r="C64" s="31"/>
      <c r="D64" s="31"/>
      <c r="E64" s="331"/>
      <c r="F64" s="132" t="s">
        <v>1030</v>
      </c>
      <c r="G64" s="335" t="s">
        <v>869</v>
      </c>
      <c r="H64" s="335" t="s">
        <v>871</v>
      </c>
      <c r="I64" s="335" t="s">
        <v>19</v>
      </c>
      <c r="J64" s="335" t="s">
        <v>856</v>
      </c>
      <c r="K64" s="31"/>
    </row>
    <row r="65" spans="1:12" s="29" customFormat="1" ht="75" x14ac:dyDescent="0.2">
      <c r="A65" s="19" t="s">
        <v>709</v>
      </c>
      <c r="B65" s="18" t="str">
        <f>VLOOKUP($A65,Questions!$A$2:$X$333,2,0)</f>
        <v>Does your change management process include privacy review and approval?</v>
      </c>
      <c r="C65" s="45" t="str">
        <f>VLOOKUP($A65,Privacy!$A$13:$E$97,3,0)&amp;""</f>
        <v/>
      </c>
      <c r="D65" s="34" t="str">
        <f>IF(LEFT(VLOOKUP($A65,Privacy!$A$13:$E$97,5,0),21)='Auto Responses'!$A$32,'Auto Responses'!$A$33,VLOOKUP($A65,Privacy!$A$13:$E$97,4,0))&amp;""</f>
        <v/>
      </c>
      <c r="E65" s="330" t="str">
        <f>VLOOKUP($A65,Privacy!$A$13:$E$97,5,0)&amp;""</f>
        <v>The change management process minimizes disruption and maximizes benefits and should contain a privacy review process.</v>
      </c>
      <c r="F65" s="188"/>
      <c r="G65" s="30" t="str">
        <f>VLOOKUP($A65,Questions!$A$2:$X$333,21,0)&amp;""</f>
        <v>Yes</v>
      </c>
      <c r="H65" s="185"/>
      <c r="I65" s="45" t="str">
        <f>VLOOKUP($A65,Questions!$A$2:$X$333,23,0)&amp;""</f>
        <v>Standard Importance</v>
      </c>
      <c r="J65" s="185"/>
      <c r="K65" s="48" t="b">
        <v>0</v>
      </c>
      <c r="L65" s="1"/>
    </row>
    <row r="66" spans="1:12" s="29" customFormat="1" ht="60" x14ac:dyDescent="0.2">
      <c r="A66" s="19" t="s">
        <v>711</v>
      </c>
      <c r="B66" s="18" t="str">
        <f>VLOOKUP($A66,Questions!$A$2:$X$333,2,0)</f>
        <v>Do you have policy and procedure, currently implemented, guiding how privacy risks are mitigated until they can be resolved?</v>
      </c>
      <c r="C66" s="45" t="str">
        <f>VLOOKUP($A66,Privacy!$A$13:$E$97,3,0)&amp;""</f>
        <v/>
      </c>
      <c r="D66" s="34" t="str">
        <f>IF(LEFT(VLOOKUP($A66,Privacy!$A$13:$E$97,5,0),21)='Auto Responses'!$A$32,'Auto Responses'!$A$33,VLOOKUP($A66,Privacy!$A$13:$E$97,4,0))&amp;""</f>
        <v/>
      </c>
      <c r="E66" s="330" t="str">
        <f>VLOOKUP($A66,Privacy!$A$13:$E$97,5,0)&amp;""</f>
        <v>Policy and procedure should include specific steps to take in the process of mitigating privacy risks.</v>
      </c>
      <c r="F66" s="188"/>
      <c r="G66" s="30" t="str">
        <f>VLOOKUP($A66,Questions!$A$2:$X$333,21,0)&amp;""</f>
        <v>Yes</v>
      </c>
      <c r="H66" s="185"/>
      <c r="I66" s="45" t="str">
        <f>VLOOKUP($A66,Questions!$A$2:$X$333,23,0)&amp;""</f>
        <v>Minor Importance</v>
      </c>
      <c r="J66" s="185"/>
      <c r="K66" s="48" t="b">
        <v>0</v>
      </c>
      <c r="L66" s="1"/>
    </row>
    <row r="67" spans="1:12" s="1" customFormat="1" ht="18" x14ac:dyDescent="0.2">
      <c r="A67" s="63" t="str">
        <f>VLOOKUP(LEFT($A68,4),'Auto Responses'!$N$4:$O$38,2,0)&amp;""</f>
        <v xml:space="preserve"> Privacy of Sensitive Data</v>
      </c>
      <c r="B67" s="22"/>
      <c r="C67" s="31"/>
      <c r="D67" s="31"/>
      <c r="E67" s="331"/>
      <c r="F67" s="132" t="s">
        <v>1030</v>
      </c>
      <c r="G67" s="335" t="s">
        <v>869</v>
      </c>
      <c r="H67" s="335" t="s">
        <v>871</v>
      </c>
      <c r="I67" s="335" t="s">
        <v>19</v>
      </c>
      <c r="J67" s="335" t="s">
        <v>856</v>
      </c>
      <c r="K67" s="31"/>
    </row>
    <row r="68" spans="1:12" s="29" customFormat="1" ht="270" x14ac:dyDescent="0.2">
      <c r="A68" s="19" t="s">
        <v>713</v>
      </c>
      <c r="B68" s="18" t="str">
        <f>VLOOKUP($A68,Questions!$A$2:$X$333,2,0)</f>
        <v>Do you collect, process, or store demographic information?*</v>
      </c>
      <c r="C68" s="45" t="str">
        <f>VLOOKUP($A68,Privacy!$A$13:$E$97,3,0)&amp;""</f>
        <v/>
      </c>
      <c r="D68" s="34" t="str">
        <f>IF(LEFT(VLOOKUP($A68,Privacy!$A$13:$E$97,5,0),21)='Auto Responses'!$A$32,'Auto Responses'!$A$33,VLOOKUP($A68,Privacy!$A$13:$E$97,4,0))&amp;""</f>
        <v/>
      </c>
      <c r="E68" s="330" t="str">
        <f>VLOOKUP($A68,Privacy!$A$13:$E$97,5,0)&amp;""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68" s="188"/>
      <c r="G68" s="30" t="str">
        <f>VLOOKUP($A68,Questions!$A$2:$X$333,21,0)&amp;""</f>
        <v>No</v>
      </c>
      <c r="H68" s="185"/>
      <c r="I68" s="45" t="str">
        <f>VLOOKUP($A68,Questions!$A$2:$X$333,23,0)&amp;""</f>
        <v>Critical Importance</v>
      </c>
      <c r="J68" s="185"/>
      <c r="K68" s="48" t="b">
        <v>0</v>
      </c>
      <c r="L68" s="1"/>
    </row>
    <row r="69" spans="1:12" s="29" customFormat="1" ht="315" x14ac:dyDescent="0.2">
      <c r="A69" s="19" t="s">
        <v>715</v>
      </c>
      <c r="B69" s="18" t="str">
        <f>VLOOKUP($A69,Questions!$A$2:$X$333,2,0)</f>
        <v>Do you capture or create genetic, biometric, or behaviometric information (e.g., facial recognition or fingerprints)?*</v>
      </c>
      <c r="C69" s="45" t="str">
        <f>VLOOKUP($A69,Privacy!$A$13:$E$97,3,0)&amp;""</f>
        <v/>
      </c>
      <c r="D69" s="34" t="str">
        <f>IF(LEFT(VLOOKUP($A69,Privacy!$A$13:$E$97,5,0),21)='Auto Responses'!$A$32,'Auto Responses'!$A$33,VLOOKUP($A69,Privacy!$A$13:$E$97,4,0))&amp;""</f>
        <v/>
      </c>
      <c r="E69" s="330" t="str">
        <f>VLOOKUP($A69,Privacy!$A$13:$E$97,5,0)&amp;""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69" s="188"/>
      <c r="G69" s="30" t="str">
        <f>VLOOKUP($A69,Questions!$A$2:$X$333,21,0)&amp;""</f>
        <v>No</v>
      </c>
      <c r="H69" s="185"/>
      <c r="I69" s="45" t="str">
        <f>VLOOKUP($A69,Questions!$A$2:$X$333,23,0)&amp;""</f>
        <v>Critical Importance</v>
      </c>
      <c r="J69" s="185"/>
      <c r="K69" s="48" t="b">
        <v>0</v>
      </c>
      <c r="L69" s="1"/>
    </row>
    <row r="70" spans="1:12" s="29" customFormat="1" ht="225" x14ac:dyDescent="0.2">
      <c r="A70" s="19" t="s">
        <v>717</v>
      </c>
      <c r="B70" s="18" t="str">
        <f>VLOOKUP($A70,Questions!$A$2:$X$333,2,0)</f>
        <v>Do you combine institutional data (including "de-identified," "anonymized," or otherwise masked data) with personal data from any other sources?*</v>
      </c>
      <c r="C70" s="45" t="str">
        <f>VLOOKUP($A70,Privacy!$A$13:$E$97,3,0)&amp;""</f>
        <v/>
      </c>
      <c r="D70" s="34" t="str">
        <f>IF(LEFT(VLOOKUP($A70,Privacy!$A$13:$E$97,5,0),21)='Auto Responses'!$A$32,'Auto Responses'!$A$33,VLOOKUP($A70,Privacy!$A$13:$E$97,4,0))&amp;""</f>
        <v/>
      </c>
      <c r="E70" s="330" t="str">
        <f>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188"/>
      <c r="G70" s="30" t="str">
        <f>VLOOKUP($A70,Questions!$A$2:$X$333,21,0)&amp;""</f>
        <v>No</v>
      </c>
      <c r="H70" s="185"/>
      <c r="I70" s="45" t="str">
        <f>VLOOKUP($A70,Questions!$A$2:$X$333,23,0)&amp;""</f>
        <v>Critical Importance</v>
      </c>
      <c r="J70" s="185"/>
      <c r="K70" s="48" t="b">
        <v>0</v>
      </c>
      <c r="L70" s="1"/>
    </row>
    <row r="71" spans="1:12" s="29" customFormat="1" ht="165" x14ac:dyDescent="0.2">
      <c r="A71" s="19" t="s">
        <v>718</v>
      </c>
      <c r="B71" s="18" t="str">
        <f>VLOOKUP($A71,Questions!$A$2:$X$333,2,0)</f>
        <v>Is institutional data coming into or going out of the United States at any point during collection, processing, storage, or archiving?</v>
      </c>
      <c r="C71" s="45" t="str">
        <f>VLOOKUP($A71,Privacy!$A$13:$E$97,3,0)&amp;""</f>
        <v/>
      </c>
      <c r="D71" s="34" t="str">
        <f>IF(LEFT(VLOOKUP($A71,Privacy!$A$13:$E$97,5,0),21)='Auto Responses'!$A$32,'Auto Responses'!$A$33,VLOOKUP($A71,Privacy!$A$13:$E$97,4,0))&amp;""</f>
        <v/>
      </c>
      <c r="E71" s="330" t="str">
        <f>VLOOKUP($A71,Privacy!$A$13:$E$97,5,0)&amp;""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71" s="188"/>
      <c r="G71" s="30" t="str">
        <f>VLOOKUP($A71,Questions!$A$2:$X$333,21,0)&amp;""</f>
        <v>No</v>
      </c>
      <c r="H71" s="185"/>
      <c r="I71" s="45" t="str">
        <f>VLOOKUP($A71,Questions!$A$2:$X$333,23,0)&amp;""</f>
        <v>Minor Importance</v>
      </c>
      <c r="J71" s="185"/>
      <c r="K71" s="48" t="b">
        <v>0</v>
      </c>
      <c r="L71" s="1"/>
    </row>
    <row r="72" spans="1:12" s="29" customFormat="1" ht="120" x14ac:dyDescent="0.2">
      <c r="A72" s="19" t="s">
        <v>719</v>
      </c>
      <c r="B72" s="18" t="str">
        <f>VLOOKUP($A72,Questions!$A$2:$X$333,2,0)</f>
        <v>Do you capture device information (e.g., IP address, MAC address)?</v>
      </c>
      <c r="C72" s="45" t="str">
        <f>VLOOKUP($A72,Privacy!$A$13:$E$97,3,0)&amp;""</f>
        <v/>
      </c>
      <c r="D72" s="34" t="str">
        <f>IF(LEFT(VLOOKUP($A72,Privacy!$A$13:$E$97,5,0),21)='Auto Responses'!$A$32,'Auto Responses'!$A$33,VLOOKUP($A72,Privacy!$A$13:$E$97,4,0))&amp;""</f>
        <v/>
      </c>
      <c r="E72" s="330" t="str">
        <f>VLOOKUP($A72,Privacy!$A$13:$E$97,5,0)&amp;""</f>
        <v>Device information can be captured for a variety of reasons, from analytics to marketing to network management and security. It is important to know the details in order to be clear on the privacy implications.</v>
      </c>
      <c r="F72" s="188"/>
      <c r="G72" s="30" t="str">
        <f>VLOOKUP($A72,Questions!$A$2:$X$333,21,0)&amp;""</f>
        <v>No</v>
      </c>
      <c r="H72" s="185"/>
      <c r="I72" s="45" t="str">
        <f>VLOOKUP($A72,Questions!$A$2:$X$333,23,0)&amp;""</f>
        <v>Minor Importance</v>
      </c>
      <c r="J72" s="185"/>
      <c r="K72" s="48" t="b">
        <v>0</v>
      </c>
      <c r="L72" s="1"/>
    </row>
    <row r="73" spans="1:12" s="29" customFormat="1" ht="60" x14ac:dyDescent="0.2">
      <c r="A73" s="19" t="s">
        <v>720</v>
      </c>
      <c r="B73" s="18" t="str">
        <f>VLOOKUP($A73,Questions!$A$2:$X$333,2,0)</f>
        <v>Does any part of this service/project involve a web/app tracking component (e.g., use of web-tracking pixels, cookies)?</v>
      </c>
      <c r="C73" s="45" t="str">
        <f>VLOOKUP($A73,Privacy!$A$13:$E$97,3,0)&amp;""</f>
        <v/>
      </c>
      <c r="D73" s="34" t="str">
        <f>IF(LEFT(VLOOKUP($A73,Privacy!$A$13:$E$97,5,0),21)='Auto Responses'!$A$32,'Auto Responses'!$A$33,VLOOKUP($A73,Privacy!$A$13:$E$97,4,0))&amp;""</f>
        <v/>
      </c>
      <c r="E73" s="330" t="str">
        <f>VLOOKUP($A73,Privacy!$A$13:$E$97,5,0)&amp;""</f>
        <v>Web tracking can be used to identify users via their IP address, login information, browser information, etc.</v>
      </c>
      <c r="F73" s="188"/>
      <c r="G73" s="30" t="str">
        <f>VLOOKUP($A73,Questions!$A$2:$X$333,21,0)&amp;""</f>
        <v>No</v>
      </c>
      <c r="H73" s="185"/>
      <c r="I73" s="45" t="str">
        <f>VLOOKUP($A73,Questions!$A$2:$X$333,23,0)&amp;""</f>
        <v>Minor Importance</v>
      </c>
      <c r="J73" s="185"/>
      <c r="K73" s="48" t="b">
        <v>0</v>
      </c>
      <c r="L73" s="1"/>
    </row>
    <row r="74" spans="1:12" s="29" customFormat="1" ht="60" x14ac:dyDescent="0.2">
      <c r="A74" s="19" t="s">
        <v>721</v>
      </c>
      <c r="B74" s="18" t="str">
        <f>VLOOKUP($A74,Questions!$A$2:$X$333,2,0)</f>
        <v>Does your staff (or a third party) have access to institutional data (e.g., financial, PHI, or other sensitive information) through any means?</v>
      </c>
      <c r="C74" s="45" t="str">
        <f>VLOOKUP($A74,Privacy!$A$13:$E$97,3,0)&amp;""</f>
        <v/>
      </c>
      <c r="D74" s="34" t="str">
        <f>IF(LEFT(VLOOKUP($A74,Privacy!$A$13:$E$97,5,0),21)='Auto Responses'!$A$32,'Auto Responses'!$A$33,VLOOKUP($A74,Privacy!$A$13:$E$97,4,0))&amp;""</f>
        <v/>
      </c>
      <c r="E74" s="330" t="str">
        <f>VLOOKUP($A74,Privacy!$A$13:$E$97,5,0)&amp;""</f>
        <v>Accessing institutional data may be necessary for legitimate business purposes.</v>
      </c>
      <c r="F74" s="188"/>
      <c r="G74" s="30" t="str">
        <f>VLOOKUP($A74,Questions!$A$2:$X$333,21,0)&amp;""</f>
        <v>No</v>
      </c>
      <c r="H74" s="185"/>
      <c r="I74" s="45" t="str">
        <f>VLOOKUP($A74,Questions!$A$2:$X$333,23,0)&amp;""</f>
        <v>Minor Importance</v>
      </c>
      <c r="J74" s="185"/>
      <c r="K74" s="48" t="b">
        <v>0</v>
      </c>
      <c r="L74" s="1"/>
    </row>
    <row r="75" spans="1:12" s="29" customFormat="1" ht="42.75" x14ac:dyDescent="0.2">
      <c r="A75" s="19" t="s">
        <v>723</v>
      </c>
      <c r="B75" s="18" t="str">
        <f>VLOOKUP($A75,Questions!$A$2:$X$333,2,0)</f>
        <v>Will you handle personal data in a manner compliant with all relevant laws, regulations, and applicable institution policies?</v>
      </c>
      <c r="C75" s="45" t="str">
        <f>VLOOKUP($A75,Privacy!$A$13:$E$97,3,0)&amp;""</f>
        <v/>
      </c>
      <c r="D75" s="34" t="str">
        <f>IF(LEFT(VLOOKUP($A75,Privacy!$A$13:$E$97,5,0),21)='Auto Responses'!$A$32,'Auto Responses'!$A$33,VLOOKUP($A75,Privacy!$A$13:$E$97,4,0))&amp;""</f>
        <v/>
      </c>
      <c r="E75" s="330" t="str">
        <f>VLOOKUP($A75,Privacy!$A$13:$E$97,5,0)&amp;""</f>
        <v/>
      </c>
      <c r="F75" s="188"/>
      <c r="G75" s="30" t="str">
        <f>VLOOKUP($A75,Questions!$A$2:$X$333,21,0)&amp;""</f>
        <v>Not scored</v>
      </c>
      <c r="H75" s="185"/>
      <c r="I75" s="45" t="str">
        <f>VLOOKUP($A75,Questions!$A$2:$X$333,23,0)&amp;""</f>
        <v/>
      </c>
      <c r="J75" s="185"/>
      <c r="K75" s="48" t="b">
        <v>0</v>
      </c>
      <c r="L75" s="1"/>
    </row>
    <row r="76" spans="1:12" s="1" customFormat="1" ht="18" x14ac:dyDescent="0.2">
      <c r="A76" s="63" t="str">
        <f>VLOOKUP(LEFT($A77,4),'Auto Responses'!$N$4:$O$38,2,0)&amp;""</f>
        <v xml:space="preserve"> Privacy Policies and Procedures</v>
      </c>
      <c r="B76" s="22"/>
      <c r="C76" s="31"/>
      <c r="D76" s="31"/>
      <c r="E76" s="331"/>
      <c r="F76" s="132" t="s">
        <v>1030</v>
      </c>
      <c r="G76" s="335" t="s">
        <v>869</v>
      </c>
      <c r="H76" s="335" t="s">
        <v>871</v>
      </c>
      <c r="I76" s="335" t="s">
        <v>19</v>
      </c>
      <c r="J76" s="335" t="s">
        <v>856</v>
      </c>
      <c r="K76" s="31"/>
    </row>
    <row r="77" spans="1:12" s="29" customFormat="1" ht="28.5" x14ac:dyDescent="0.2">
      <c r="A77" s="19" t="s">
        <v>724</v>
      </c>
      <c r="B77" s="18" t="str">
        <f>VLOOKUP($A77,Questions!$A$2:$X$333,2,0)</f>
        <v>Do you have a documented privacy management process?</v>
      </c>
      <c r="C77" s="45" t="str">
        <f>VLOOKUP($A77,Privacy!$A$13:$E$97,3,0)&amp;""</f>
        <v/>
      </c>
      <c r="D77" s="34" t="str">
        <f>IF(LEFT(VLOOKUP($A77,Privacy!$A$13:$E$97,5,0),21)='Auto Responses'!$A$32,'Auto Responses'!$A$33,VLOOKUP($A77,Privacy!$A$13:$E$97,4,0))&amp;""</f>
        <v/>
      </c>
      <c r="E77" s="330" t="str">
        <f>VLOOKUP($A77,Privacy!$A$13:$E$97,5,0)&amp;""</f>
        <v/>
      </c>
      <c r="F77" s="188"/>
      <c r="G77" s="30" t="str">
        <f>VLOOKUP($A77,Questions!$A$2:$X$333,21,0)&amp;""</f>
        <v>Yes</v>
      </c>
      <c r="H77" s="185"/>
      <c r="I77" s="45" t="str">
        <f>VLOOKUP($A77,Questions!$A$2:$X$333,23,0)&amp;""</f>
        <v>Minor Importance</v>
      </c>
      <c r="J77" s="185"/>
      <c r="K77" s="48" t="b">
        <v>0</v>
      </c>
      <c r="L77" s="1"/>
    </row>
    <row r="78" spans="1:12" s="29" customFormat="1" ht="180" x14ac:dyDescent="0.2">
      <c r="A78" s="19" t="s">
        <v>727</v>
      </c>
      <c r="B78" s="18" t="str">
        <f>VLOOKUP($A78,Questions!$A$2:$X$333,2,0)</f>
        <v>Are privacy principles designed into the product lifecycle (i.e., privacy-by-design)?</v>
      </c>
      <c r="C78" s="45" t="str">
        <f>VLOOKUP($A78,Privacy!$A$13:$E$97,3,0)&amp;""</f>
        <v/>
      </c>
      <c r="D78" s="34" t="str">
        <f>IF(LEFT(VLOOKUP($A78,Privacy!$A$13:$E$97,5,0),21)='Auto Responses'!$A$32,'Auto Responses'!$A$33,VLOOKUP($A78,Privacy!$A$13:$E$97,4,0))&amp;""</f>
        <v/>
      </c>
      <c r="E78" s="330" t="str">
        <f>VLOOKUP($A78,Privacy!$A$13:$E$97,5,0)&amp;""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78" s="188"/>
      <c r="G78" s="30" t="str">
        <f>VLOOKUP($A78,Questions!$A$2:$X$333,21,0)&amp;""</f>
        <v>Yes</v>
      </c>
      <c r="H78" s="185"/>
      <c r="I78" s="45" t="str">
        <f>VLOOKUP($A78,Questions!$A$2:$X$333,23,0)&amp;""</f>
        <v>Minor Importance</v>
      </c>
      <c r="J78" s="185"/>
      <c r="K78" s="48" t="b">
        <v>0</v>
      </c>
      <c r="L78" s="1"/>
    </row>
    <row r="79" spans="1:12" s="29" customFormat="1" ht="28.5" x14ac:dyDescent="0.2">
      <c r="A79" s="19" t="s">
        <v>730</v>
      </c>
      <c r="B79" s="18" t="str">
        <f>VLOOKUP($A79,Questions!$A$2:$X$333,2,0)</f>
        <v>Will you comply with applicable breach notification laws?</v>
      </c>
      <c r="C79" s="45" t="str">
        <f>VLOOKUP($A79,Privacy!$A$13:$E$97,3,0)&amp;""</f>
        <v/>
      </c>
      <c r="D79" s="34" t="str">
        <f>IF(LEFT(VLOOKUP($A79,Privacy!$A$13:$E$97,5,0),21)='Auto Responses'!$A$32,'Auto Responses'!$A$33,VLOOKUP($A79,Privacy!$A$13:$E$97,4,0))&amp;""</f>
        <v/>
      </c>
      <c r="E79" s="330" t="str">
        <f>VLOOKUP($A79,Privacy!$A$13:$E$97,5,0)&amp;""</f>
        <v/>
      </c>
      <c r="F79" s="188"/>
      <c r="G79" s="30" t="str">
        <f>VLOOKUP($A79,Questions!$A$2:$X$333,21,0)&amp;""</f>
        <v>Yes</v>
      </c>
      <c r="H79" s="185"/>
      <c r="I79" s="45" t="str">
        <f>VLOOKUP($A79,Questions!$A$2:$X$333,23,0)&amp;""</f>
        <v>Standard Importance</v>
      </c>
      <c r="J79" s="185"/>
      <c r="K79" s="48" t="b">
        <v>0</v>
      </c>
      <c r="L79" s="1"/>
    </row>
    <row r="80" spans="1:12" s="29" customFormat="1" ht="75" x14ac:dyDescent="0.2">
      <c r="A80" s="19" t="s">
        <v>732</v>
      </c>
      <c r="B80" s="18" t="str">
        <f>VLOOKUP($A80,Questions!$A$2:$X$333,2,0)</f>
        <v>Will you comply with the institution's policies regarding user privacy and data protection?</v>
      </c>
      <c r="C80" s="45" t="str">
        <f>VLOOKUP($A80,Privacy!$A$13:$E$97,3,0)&amp;""</f>
        <v/>
      </c>
      <c r="D80" s="34" t="str">
        <f>IF(LEFT(VLOOKUP($A80,Privacy!$A$13:$E$97,5,0),21)='Auto Responses'!$A$32,'Auto Responses'!$A$33,VLOOKUP($A80,Privacy!$A$13:$E$97,4,0))&amp;""</f>
        <v/>
      </c>
      <c r="E80" s="330" t="str">
        <f>VLOOKUP($A80,Privacy!$A$13:$E$97,5,0)&amp;""</f>
        <v>These policies may include specific user consent practices, data classification standards, and handling of sensitive information.</v>
      </c>
      <c r="F80" s="188"/>
      <c r="G80" s="30" t="str">
        <f>VLOOKUP($A80,Questions!$A$2:$X$333,21,0)&amp;""</f>
        <v>Yes</v>
      </c>
      <c r="H80" s="185"/>
      <c r="I80" s="45" t="str">
        <f>VLOOKUP($A80,Questions!$A$2:$X$333,23,0)&amp;""</f>
        <v>Minor Importance</v>
      </c>
      <c r="J80" s="185"/>
      <c r="K80" s="48" t="b">
        <v>0</v>
      </c>
      <c r="L80" s="1"/>
    </row>
    <row r="81" spans="1:12" s="29" customFormat="1" ht="75" x14ac:dyDescent="0.2">
      <c r="A81" s="19" t="s">
        <v>734</v>
      </c>
      <c r="B81" s="18" t="str">
        <f>VLOOKUP($A81,Questions!$A$2:$X$333,2,0)</f>
        <v>Is your company subject to the laws and regulations of the institution's geographic region?</v>
      </c>
      <c r="C81" s="45" t="str">
        <f>VLOOKUP($A81,Privacy!$A$13:$E$97,3,0)&amp;""</f>
        <v/>
      </c>
      <c r="D81" s="34" t="str">
        <f>IF(LEFT(VLOOKUP($A81,Privacy!$A$13:$E$97,5,0),21)='Auto Responses'!$A$32,'Auto Responses'!$A$33,VLOOKUP($A81,Privacy!$A$13:$E$97,4,0))&amp;""</f>
        <v/>
      </c>
      <c r="E81" s="330" t="str">
        <f>VLOOKUP($A81,Privacy!$A$13:$E$97,5,0)&amp;""</f>
        <v>Indicates whether your organization is legally bound by state, federal, or local laws where the institution operates.</v>
      </c>
      <c r="F81" s="188"/>
      <c r="G81" s="30" t="str">
        <f>VLOOKUP($A81,Questions!$A$2:$X$333,21,0)&amp;""</f>
        <v>Yes</v>
      </c>
      <c r="H81" s="185"/>
      <c r="I81" s="45" t="str">
        <f>VLOOKUP($A81,Questions!$A$2:$X$333,23,0)&amp;""</f>
        <v>Minor Importance</v>
      </c>
      <c r="J81" s="185"/>
      <c r="K81" s="48" t="b">
        <v>0</v>
      </c>
      <c r="L81" s="1"/>
    </row>
    <row r="82" spans="1:12" s="29" customFormat="1" ht="150" x14ac:dyDescent="0.2">
      <c r="A82" s="19" t="s">
        <v>736</v>
      </c>
      <c r="B82" s="18" t="str">
        <f>VLOOKUP($A82,Questions!$A$2:$X$333,2,0)</f>
        <v>Do you have a privacy awareness/training program?*</v>
      </c>
      <c r="C82" s="45" t="str">
        <f>VLOOKUP($A82,Privacy!$A$13:$E$97,3,0)&amp;""</f>
        <v/>
      </c>
      <c r="D82" s="34" t="str">
        <f>IF(LEFT(VLOOKUP($A82,Privacy!$A$13:$E$97,5,0),21)='Auto Responses'!$A$32,'Auto Responses'!$A$33,VLOOKUP($A82,Privacy!$A$13:$E$97,4,0))&amp;""</f>
        <v/>
      </c>
      <c r="E82" s="330" t="str">
        <f>VLOOKUP($A82,Privacy!$A$13:$E$97,5,0)&amp;""</f>
        <v>Privacy awareness/training refers to the ongoing education provided to individuals who handle sensitive data to ensure they understand privacy obligations, data protection principles, and regulatory requirements (e.g., FERPA, HIPAA, GDPR).</v>
      </c>
      <c r="F82" s="188"/>
      <c r="G82" s="30" t="str">
        <f>VLOOKUP($A82,Questions!$A$2:$X$333,21,0)&amp;""</f>
        <v>Yes</v>
      </c>
      <c r="H82" s="185"/>
      <c r="I82" s="45" t="str">
        <f>VLOOKUP($A82,Questions!$A$2:$X$333,23,0)&amp;""</f>
        <v>Critical Importance</v>
      </c>
      <c r="J82" s="185"/>
      <c r="K82" s="48" t="b">
        <v>0</v>
      </c>
      <c r="L82" s="1"/>
    </row>
    <row r="83" spans="1:12" s="29" customFormat="1" ht="28.5" x14ac:dyDescent="0.2">
      <c r="A83" s="19" t="s">
        <v>737</v>
      </c>
      <c r="B83" s="18" t="str">
        <f>VLOOKUP($A83,Questions!$A$2:$X$333,2,0)</f>
        <v>Is privacy awareness training mandatory for all employees?</v>
      </c>
      <c r="C83" s="45" t="str">
        <f>VLOOKUP($A83,Privacy!$A$13:$E$97,3,0)&amp;""</f>
        <v/>
      </c>
      <c r="D83" s="34" t="str">
        <f>IF(LEFT(VLOOKUP($A83,Privacy!$A$13:$E$97,5,0),21)='Auto Responses'!$A$32,'Auto Responses'!$A$33,VLOOKUP($A83,Privacy!$A$13:$E$97,4,0))&amp;""</f>
        <v/>
      </c>
      <c r="E83" s="330" t="str">
        <f>VLOOKUP($A83,Privacy!$A$13:$E$97,5,0)&amp;""</f>
        <v/>
      </c>
      <c r="F83" s="188"/>
      <c r="G83" s="30" t="str">
        <f>VLOOKUP($A83,Questions!$A$2:$X$333,21,0)&amp;""</f>
        <v>Yes</v>
      </c>
      <c r="H83" s="185"/>
      <c r="I83" s="45" t="str">
        <f>VLOOKUP($A83,Questions!$A$2:$X$333,23,0)&amp;""</f>
        <v>Minor Importance</v>
      </c>
      <c r="J83" s="185"/>
      <c r="K83" s="48" t="b">
        <v>0</v>
      </c>
      <c r="L83" s="1"/>
    </row>
    <row r="84" spans="1:12" s="29" customFormat="1" ht="28.5" x14ac:dyDescent="0.2">
      <c r="A84" s="19" t="s">
        <v>740</v>
      </c>
      <c r="B84" s="18" t="str">
        <f>VLOOKUP($A84,Questions!$A$2:$X$333,2,0)</f>
        <v>Is AI privacy and ethics awareness/training required for all employees who work with AI?</v>
      </c>
      <c r="C84" s="45" t="str">
        <f>VLOOKUP($A84,Privacy!$A$13:$E$97,3,0)&amp;""</f>
        <v/>
      </c>
      <c r="D84" s="34" t="str">
        <f>IF(LEFT(VLOOKUP($A84,Privacy!$A$13:$E$97,5,0),21)='Auto Responses'!$A$32,'Auto Responses'!$A$33,VLOOKUP($A84,Privacy!$A$13:$E$97,4,0))&amp;""</f>
        <v/>
      </c>
      <c r="E84" s="330" t="str">
        <f>VLOOKUP($A84,Privacy!$A$13:$E$97,5,0)&amp;""</f>
        <v/>
      </c>
      <c r="F84" s="188"/>
      <c r="G84" s="30" t="str">
        <f>VLOOKUP($A84,Questions!$A$2:$X$333,21,0)&amp;""</f>
        <v>Yes</v>
      </c>
      <c r="H84" s="185"/>
      <c r="I84" s="45" t="str">
        <f>VLOOKUP($A84,Questions!$A$2:$X$333,23,0)&amp;""</f>
        <v>Minor Importance</v>
      </c>
      <c r="J84" s="185"/>
      <c r="K84" s="48" t="b">
        <v>0</v>
      </c>
      <c r="L84" s="1"/>
    </row>
    <row r="85" spans="1:12" s="29" customFormat="1" ht="150" x14ac:dyDescent="0.2">
      <c r="A85" s="19" t="s">
        <v>743</v>
      </c>
      <c r="B85" s="18" t="str">
        <f>VLOOKUP($A85,Questions!$A$2:$X$333,2,0)</f>
        <v>Do you have any decision-making processes that are completely automated (i.e., there is no human involvement)?</v>
      </c>
      <c r="C85" s="45" t="str">
        <f>VLOOKUP($A85,Privacy!$A$13:$E$97,3,0)&amp;""</f>
        <v/>
      </c>
      <c r="D85" s="34" t="str">
        <f>IF(LEFT(VLOOKUP($A85,Privacy!$A$13:$E$97,5,0),21)='Auto Responses'!$A$32,'Auto Responses'!$A$33,VLOOKUP($A85,Privacy!$A$13:$E$97,4,0))&amp;""</f>
        <v/>
      </c>
      <c r="E85" s="330" t="str">
        <f>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188"/>
      <c r="G85" s="30" t="str">
        <f>VLOOKUP($A85,Questions!$A$2:$X$333,21,0)&amp;""</f>
        <v>No</v>
      </c>
      <c r="H85" s="185"/>
      <c r="I85" s="45" t="str">
        <f>VLOOKUP($A85,Questions!$A$2:$X$333,23,0)&amp;""</f>
        <v>Minor Importance</v>
      </c>
      <c r="J85" s="185"/>
      <c r="K85" s="48" t="b">
        <v>0</v>
      </c>
      <c r="L85" s="1"/>
    </row>
    <row r="86" spans="1:12" s="29" customFormat="1" ht="42.75" x14ac:dyDescent="0.2">
      <c r="A86" s="19" t="s">
        <v>744</v>
      </c>
      <c r="B86" s="18" t="str">
        <f>VLOOKUP($A86,Questions!$A$2:$X$333,2,0)</f>
        <v>Do you have a documented process for managing automated processing, including validations, monitoring, and data subject requests?</v>
      </c>
      <c r="C86" s="45" t="str">
        <f>VLOOKUP($A86,Privacy!$A$13:$E$97,3,0)&amp;""</f>
        <v/>
      </c>
      <c r="D86" s="34" t="str">
        <f>IF(LEFT(VLOOKUP($A86,Privacy!$A$13:$E$97,5,0),21)='Auto Responses'!$A$32,'Auto Responses'!$A$33,VLOOKUP($A86,Privacy!$A$13:$E$97,4,0))&amp;""</f>
        <v/>
      </c>
      <c r="E86" s="330" t="str">
        <f>VLOOKUP($A86,Privacy!$A$13:$E$97,5,0)&amp;""</f>
        <v/>
      </c>
      <c r="F86" s="188"/>
      <c r="G86" s="30" t="str">
        <f>VLOOKUP($A86,Questions!$A$2:$X$333,21,0)&amp;""</f>
        <v>Yes</v>
      </c>
      <c r="H86" s="185"/>
      <c r="I86" s="45" t="str">
        <f>VLOOKUP($A86,Questions!$A$2:$X$333,23,0)&amp;""</f>
        <v>Minor Importance</v>
      </c>
      <c r="J86" s="185"/>
      <c r="K86" s="48" t="b">
        <v>0</v>
      </c>
      <c r="L86" s="1"/>
    </row>
    <row r="87" spans="1:12" s="29" customFormat="1" ht="28.5" x14ac:dyDescent="0.2">
      <c r="A87" s="19" t="s">
        <v>746</v>
      </c>
      <c r="B87" s="18" t="str">
        <f>VLOOKUP($A87,Questions!$A$2:$X$333,2,0)</f>
        <v>Do you have a documented policy for sharing information with law enforcement?</v>
      </c>
      <c r="C87" s="45" t="str">
        <f>VLOOKUP($A87,Privacy!$A$13:$E$97,3,0)&amp;""</f>
        <v/>
      </c>
      <c r="D87" s="34" t="str">
        <f>IF(LEFT(VLOOKUP($A87,Privacy!$A$13:$E$97,5,0),21)='Auto Responses'!$A$32,'Auto Responses'!$A$33,VLOOKUP($A87,Privacy!$A$13:$E$97,4,0))&amp;""</f>
        <v/>
      </c>
      <c r="E87" s="330" t="str">
        <f>VLOOKUP($A87,Privacy!$A$13:$E$97,5,0)&amp;""</f>
        <v/>
      </c>
      <c r="F87" s="188"/>
      <c r="G87" s="30" t="str">
        <f>VLOOKUP($A87,Questions!$A$2:$X$333,21,0)&amp;""</f>
        <v>Yes</v>
      </c>
      <c r="H87" s="185"/>
      <c r="I87" s="45" t="str">
        <f>VLOOKUP($A87,Questions!$A$2:$X$333,23,0)&amp;""</f>
        <v>Minor Importance</v>
      </c>
      <c r="J87" s="185"/>
      <c r="K87" s="48" t="b">
        <v>0</v>
      </c>
      <c r="L87" s="1"/>
    </row>
    <row r="88" spans="1:12" s="29" customFormat="1" ht="28.5" x14ac:dyDescent="0.2">
      <c r="A88" s="19" t="s">
        <v>749</v>
      </c>
      <c r="B88" s="18" t="str">
        <f>VLOOKUP($A88,Questions!$A$2:$X$333,2,0)</f>
        <v>Do you share any institutional data with law enforcement without a valid warrant or subpoena?*</v>
      </c>
      <c r="C88" s="45" t="str">
        <f>VLOOKUP($A88,Privacy!$A$13:$E$97,3,0)&amp;""</f>
        <v/>
      </c>
      <c r="D88" s="34" t="str">
        <f>IF(LEFT(VLOOKUP($A88,Privacy!$A$13:$E$97,5,0),21)='Auto Responses'!$A$32,'Auto Responses'!$A$33,VLOOKUP($A88,Privacy!$A$13:$E$97,4,0))&amp;""</f>
        <v/>
      </c>
      <c r="E88" s="330" t="str">
        <f>VLOOKUP($A88,Privacy!$A$13:$E$97,5,0)&amp;""</f>
        <v/>
      </c>
      <c r="F88" s="188"/>
      <c r="G88" s="30" t="str">
        <f>VLOOKUP($A88,Questions!$A$2:$X$333,21,0)&amp;""</f>
        <v>No</v>
      </c>
      <c r="H88" s="185"/>
      <c r="I88" s="45" t="str">
        <f>VLOOKUP($A88,Questions!$A$2:$X$333,23,0)&amp;""</f>
        <v>Critical Importance</v>
      </c>
      <c r="J88" s="185"/>
      <c r="K88" s="48" t="b">
        <v>0</v>
      </c>
      <c r="L88" s="1"/>
    </row>
    <row r="89" spans="1:12" s="29" customFormat="1" ht="75" x14ac:dyDescent="0.2">
      <c r="A89" s="19" t="s">
        <v>750</v>
      </c>
      <c r="B89" s="18" t="str">
        <f>VLOOKUP($A89,Questions!$A$2:$X$333,2,0)</f>
        <v>Does your incident response team include a privacy analyst/officer?</v>
      </c>
      <c r="C89" s="45" t="str">
        <f>VLOOKUP($A89,Privacy!$A$13:$E$97,3,0)&amp;""</f>
        <v/>
      </c>
      <c r="D89" s="34" t="str">
        <f>IF(LEFT(VLOOKUP($A89,Privacy!$A$13:$E$97,5,0),21)='Auto Responses'!$A$32,'Auto Responses'!$A$33,VLOOKUP($A89,Privacy!$A$13:$E$97,4,0))&amp;""</f>
        <v/>
      </c>
      <c r="E89" s="330" t="str">
        <f>VLOOKUP($A89,Privacy!$A$13:$E$97,5,0)&amp;""</f>
        <v>Provide an overview of your incident response team membership and its charge, highlighting the privacy analyst/officer.</v>
      </c>
      <c r="F89" s="188"/>
      <c r="G89" s="30" t="str">
        <f>VLOOKUP($A89,Questions!$A$2:$X$333,21,0)&amp;""</f>
        <v>Yes</v>
      </c>
      <c r="H89" s="185"/>
      <c r="I89" s="45" t="str">
        <f>VLOOKUP($A89,Questions!$A$2:$X$333,23,0)&amp;""</f>
        <v>Minor Importance</v>
      </c>
      <c r="J89" s="185"/>
      <c r="K89" s="48" t="b">
        <v>0</v>
      </c>
      <c r="L89" s="1"/>
    </row>
    <row r="90" spans="1:12" s="1" customFormat="1" ht="18" x14ac:dyDescent="0.2">
      <c r="A90" s="63" t="str">
        <f>VLOOKUP(LEFT($A91,4),'Auto Responses'!$N$4:$O$38,2,0)&amp;""</f>
        <v xml:space="preserve"> International Privacy</v>
      </c>
      <c r="B90" s="22"/>
      <c r="C90" s="31"/>
      <c r="D90" s="31"/>
      <c r="E90" s="331"/>
      <c r="F90" s="132" t="s">
        <v>1030</v>
      </c>
      <c r="G90" s="335" t="s">
        <v>869</v>
      </c>
      <c r="H90" s="335" t="s">
        <v>871</v>
      </c>
      <c r="I90" s="335" t="s">
        <v>19</v>
      </c>
      <c r="J90" s="335" t="s">
        <v>856</v>
      </c>
      <c r="K90" s="31"/>
    </row>
    <row r="91" spans="1:12" s="29" customFormat="1" ht="30" x14ac:dyDescent="0.2">
      <c r="A91" s="19" t="s">
        <v>752</v>
      </c>
      <c r="B91" s="18" t="str">
        <f>VLOOKUP($A91,Questions!$A$2:$X$333,2,0)</f>
        <v>Will data be collected from or processed in or stored in the European Economic Area (EEA)?</v>
      </c>
      <c r="C91" s="45" t="str">
        <f>VLOOKUP($A91,Privacy!$A$13:$E$97,3,0)&amp;""</f>
        <v/>
      </c>
      <c r="D91" s="34" t="str">
        <f>IF(LEFT(VLOOKUP($A91,Privacy!$A$13:$E$97,5,0),21)='Auto Responses'!$A$32,'Auto Responses'!$A$33,VLOOKUP($A91,Privacy!$A$13:$E$97,4,0))&amp;""</f>
        <v/>
      </c>
      <c r="E91" s="330" t="str">
        <f>VLOOKUP($A91,Privacy!$A$13:$E$97,5,0)&amp;""</f>
        <v>See GDPR Chapter 1, Art. 4, for definitions.</v>
      </c>
      <c r="F91" s="188"/>
      <c r="G91" s="30" t="str">
        <f>VLOOKUP($A91,Questions!$A$2:$X$333,21,0)&amp;""</f>
        <v>No</v>
      </c>
      <c r="H91" s="185"/>
      <c r="I91" s="45" t="str">
        <f>VLOOKUP($A91,Questions!$A$2:$X$333,23,0)&amp;""</f>
        <v>Standard Importance</v>
      </c>
      <c r="J91" s="185"/>
      <c r="K91" s="48" t="b">
        <v>0</v>
      </c>
      <c r="L91" s="1"/>
    </row>
    <row r="92" spans="1:12" s="29" customFormat="1" ht="30" x14ac:dyDescent="0.2">
      <c r="A92" s="19" t="s">
        <v>755</v>
      </c>
      <c r="B92" s="18" t="str">
        <f>VLOOKUP($A92,Questions!$A$2:$X$333,2,0)</f>
        <v>Do you have a data protection officer (DPO)?</v>
      </c>
      <c r="C92" s="45" t="str">
        <f>VLOOKUP($A92,Privacy!$A$13:$E$97,3,0)&amp;""</f>
        <v/>
      </c>
      <c r="D92" s="34" t="str">
        <f>IF(LEFT(VLOOKUP($A92,Privacy!$A$13:$E$97,5,0),21)='Auto Responses'!$A$32,'Auto Responses'!$A$33,VLOOKUP($A92,Privacy!$A$13:$E$97,4,0))&amp;""</f>
        <v/>
      </c>
      <c r="E92" s="330" t="str">
        <f>VLOOKUP($A92,Privacy!$A$13:$E$97,5,0)&amp;""</f>
        <v>See GDPR Chapter 4, Section 4, for DPO information.</v>
      </c>
      <c r="F92" s="188"/>
      <c r="G92" s="30" t="str">
        <f>VLOOKUP($A92,Questions!$A$2:$X$333,21,0)&amp;""</f>
        <v>Yes</v>
      </c>
      <c r="H92" s="185"/>
      <c r="I92" s="45" t="str">
        <f>VLOOKUP($A92,Questions!$A$2:$X$333,23,0)&amp;""</f>
        <v>Standard Importance</v>
      </c>
      <c r="J92" s="185"/>
      <c r="K92" s="48" t="b">
        <v>0</v>
      </c>
      <c r="L92" s="1"/>
    </row>
    <row r="93" spans="1:12" s="29" customFormat="1" ht="30" x14ac:dyDescent="0.2">
      <c r="A93" s="19" t="s">
        <v>757</v>
      </c>
      <c r="B93" s="18" t="str">
        <f>VLOOKUP($A93,Questions!$A$2:$X$333,2,0)</f>
        <v>Will you sign appropriate GDPR Standard Contractual Clauses (SCCs) with the institution?</v>
      </c>
      <c r="C93" s="45" t="str">
        <f>VLOOKUP($A93,Privacy!$A$13:$E$97,3,0)&amp;""</f>
        <v/>
      </c>
      <c r="D93" s="34" t="str">
        <f>IF(LEFT(VLOOKUP($A93,Privacy!$A$13:$E$97,5,0),21)='Auto Responses'!$A$32,'Auto Responses'!$A$33,VLOOKUP($A93,Privacy!$A$13:$E$97,4,0))&amp;""</f>
        <v/>
      </c>
      <c r="E93" s="330" t="str">
        <f>VLOOKUP($A93,Privacy!$A$13:$E$97,5,0)&amp;""</f>
        <v>See GDPR Chapter 5, Art. 46, for SCC information.</v>
      </c>
      <c r="F93" s="188"/>
      <c r="G93" s="30" t="str">
        <f>VLOOKUP($A93,Questions!$A$2:$X$333,21,0)&amp;""</f>
        <v>Yes</v>
      </c>
      <c r="H93" s="185"/>
      <c r="I93" s="45" t="str">
        <f>VLOOKUP($A93,Questions!$A$2:$X$333,23,0)&amp;""</f>
        <v>Standard Importance</v>
      </c>
      <c r="J93" s="185"/>
      <c r="K93" s="48" t="b">
        <v>0</v>
      </c>
      <c r="L93" s="1"/>
    </row>
    <row r="94" spans="1:12" s="29" customFormat="1" ht="30" x14ac:dyDescent="0.2">
      <c r="A94" s="19" t="s">
        <v>759</v>
      </c>
      <c r="B94" s="18" t="str">
        <f>VLOOKUP($A94,Questions!$A$2:$X$333,2,0)</f>
        <v>Will data be collected from or processed in or stored in China?</v>
      </c>
      <c r="C94" s="45" t="str">
        <f>VLOOKUP($A94,Privacy!$A$13:$E$97,3,0)&amp;""</f>
        <v/>
      </c>
      <c r="D94" s="34" t="str">
        <f>IF(LEFT(VLOOKUP($A94,Privacy!$A$13:$E$97,5,0),21)='Auto Responses'!$A$32,'Auto Responses'!$A$33,VLOOKUP($A94,Privacy!$A$13:$E$97,4,0))&amp;""</f>
        <v/>
      </c>
      <c r="E94" s="330" t="str">
        <f>VLOOKUP($A94,Privacy!$A$13:$E$97,5,0)&amp;""</f>
        <v>See PIPL Chapter 1 for definitions.</v>
      </c>
      <c r="F94" s="188"/>
      <c r="G94" s="30" t="str">
        <f>VLOOKUP($A94,Questions!$A$2:$X$333,21,0)&amp;""</f>
        <v>No</v>
      </c>
      <c r="H94" s="185"/>
      <c r="I94" s="45" t="str">
        <f>VLOOKUP($A94,Questions!$A$2:$X$333,23,0)&amp;""</f>
        <v>Standard Importance</v>
      </c>
      <c r="J94" s="185"/>
      <c r="K94" s="48" t="b">
        <v>0</v>
      </c>
      <c r="L94" s="1"/>
    </row>
    <row r="95" spans="1:12" s="29" customFormat="1" ht="30" x14ac:dyDescent="0.2">
      <c r="A95" s="19" t="s">
        <v>762</v>
      </c>
      <c r="B95" s="18" t="str">
        <f>VLOOKUP($A95,Questions!$A$2:$X$333,2,0)</f>
        <v>Do you comply with PIPL security, privacy, and data localization requirements?</v>
      </c>
      <c r="C95" s="45" t="str">
        <f>VLOOKUP($A95,Privacy!$A$13:$E$97,3,0)&amp;""</f>
        <v/>
      </c>
      <c r="D95" s="34" t="str">
        <f>IF(LEFT(VLOOKUP($A95,Privacy!$A$13:$E$97,5,0),21)='Auto Responses'!$A$32,'Auto Responses'!$A$33,VLOOKUP($A95,Privacy!$A$13:$E$97,4,0))&amp;""</f>
        <v/>
      </c>
      <c r="E95" s="330" t="str">
        <f>VLOOKUP($A95,Privacy!$A$13:$E$97,5,0)&amp;""</f>
        <v>See PIPL Chapter 5 for requirements.</v>
      </c>
      <c r="F95" s="188"/>
      <c r="G95" s="30" t="str">
        <f>VLOOKUP($A95,Questions!$A$2:$X$333,21,0)&amp;""</f>
        <v>Yes</v>
      </c>
      <c r="H95" s="185"/>
      <c r="I95" s="45" t="str">
        <f>VLOOKUP($A95,Questions!$A$2:$X$333,23,0)&amp;""</f>
        <v>Standard Importance</v>
      </c>
      <c r="J95" s="185"/>
      <c r="K95" s="48" t="b">
        <v>0</v>
      </c>
      <c r="L95" s="1"/>
    </row>
    <row r="96" spans="1:12" s="1" customFormat="1" ht="18" x14ac:dyDescent="0.2">
      <c r="A96" s="63" t="str">
        <f>VLOOKUP(LEFT($A97,4),'Auto Responses'!$N$4:$O$38,2,0)&amp;""</f>
        <v xml:space="preserve"> Data Privacy</v>
      </c>
      <c r="B96" s="22"/>
      <c r="C96" s="31"/>
      <c r="D96" s="31"/>
      <c r="E96" s="331"/>
      <c r="F96" s="132" t="s">
        <v>1030</v>
      </c>
      <c r="G96" s="335" t="s">
        <v>869</v>
      </c>
      <c r="H96" s="335" t="s">
        <v>871</v>
      </c>
      <c r="I96" s="335" t="s">
        <v>19</v>
      </c>
      <c r="J96" s="335" t="s">
        <v>856</v>
      </c>
      <c r="K96" s="31"/>
    </row>
    <row r="97" spans="1:12" s="29" customFormat="1" ht="28.5" x14ac:dyDescent="0.2">
      <c r="A97" s="19" t="s">
        <v>1035</v>
      </c>
      <c r="B97" s="18" t="str">
        <f>VLOOKUP($A97,Questions!$A$2:$X$333,2,0)</f>
        <v>Have you performed a Data Privacy Impact Assessment for the solution/project?</v>
      </c>
      <c r="C97" s="45" t="str">
        <f>VLOOKUP($A97,Privacy!$A$13:$E$97,3,0)&amp;""</f>
        <v/>
      </c>
      <c r="D97" s="34" t="str">
        <f>IF(LEFT(VLOOKUP($A97,Privacy!$A$13:$E$97,5,0),21)='Auto Responses'!$A$32,'Auto Responses'!$A$33,VLOOKUP($A97,Privacy!$A$13:$E$97,4,0))&amp;""</f>
        <v/>
      </c>
      <c r="E97" s="330" t="str">
        <f>VLOOKUP($A97,Privacy!$A$13:$E$97,5,0)&amp;""</f>
        <v/>
      </c>
      <c r="F97" s="188"/>
      <c r="G97" s="30" t="str">
        <f>VLOOKUP($A97,Questions!$A$2:$X$333,21,0)&amp;""</f>
        <v>Yes</v>
      </c>
      <c r="H97" s="185"/>
      <c r="I97" s="45" t="str">
        <f>VLOOKUP($A97,Questions!$A$2:$X$333,23,0)&amp;""</f>
        <v>Standard Importance</v>
      </c>
      <c r="J97" s="185"/>
      <c r="K97" s="48" t="b">
        <v>0</v>
      </c>
      <c r="L97" s="1"/>
    </row>
    <row r="98" spans="1:12" s="29" customFormat="1" ht="57" x14ac:dyDescent="0.2">
      <c r="A98" s="19" t="s">
        <v>1036</v>
      </c>
      <c r="B98" s="18" t="str">
        <f>VLOOKUP($A98,Questions!$A$2:$X$333,2,0)</f>
        <v>Do you provide an end-user privacy notice about privacy policies and procedures that identify the purpose(s) for which personal information is collected, used, retained, and disclosed?</v>
      </c>
      <c r="C98" s="45" t="str">
        <f>VLOOKUP($A98,Privacy!$A$13:$E$97,3,0)&amp;""</f>
        <v/>
      </c>
      <c r="D98" s="34" t="str">
        <f>IF(LEFT(VLOOKUP($A98,Privacy!$A$13:$E$97,5,0),21)='Auto Responses'!$A$32,'Auto Responses'!$A$33,VLOOKUP($A98,Privacy!$A$13:$E$97,4,0))&amp;""</f>
        <v/>
      </c>
      <c r="E98" s="330" t="str">
        <f>VLOOKUP($A98,Privacy!$A$13:$E$97,5,0)&amp;""</f>
        <v/>
      </c>
      <c r="F98" s="188"/>
      <c r="G98" s="30" t="str">
        <f>VLOOKUP($A98,Questions!$A$2:$X$333,21,0)&amp;""</f>
        <v>Yes</v>
      </c>
      <c r="H98" s="185"/>
      <c r="I98" s="45" t="str">
        <f>VLOOKUP($A98,Questions!$A$2:$X$333,23,0)&amp;""</f>
        <v>Standard Importance</v>
      </c>
      <c r="J98" s="185"/>
      <c r="K98" s="48" t="b">
        <v>0</v>
      </c>
      <c r="L98" s="1"/>
    </row>
    <row r="99" spans="1:12" s="29" customFormat="1" ht="57" x14ac:dyDescent="0.2">
      <c r="A99" s="19" t="s">
        <v>1037</v>
      </c>
      <c r="B99" s="18" t="str">
        <f>VLOOKUP($A99,Questions!$A$2:$X$333,2,0)</f>
        <v>Do you describe the choices available to the individual and obtain implicit or explicit consent with respect to the collection, use, and disclosure of personal information?</v>
      </c>
      <c r="C99" s="45" t="str">
        <f>VLOOKUP($A99,Privacy!$A$13:$E$97,3,0)&amp;""</f>
        <v/>
      </c>
      <c r="D99" s="34" t="str">
        <f>IF(LEFT(VLOOKUP($A99,Privacy!$A$13:$E$97,5,0),21)='Auto Responses'!$A$32,'Auto Responses'!$A$33,VLOOKUP($A99,Privacy!$A$13:$E$97,4,0))&amp;""</f>
        <v/>
      </c>
      <c r="E99" s="330" t="str">
        <f>VLOOKUP($A99,Privacy!$A$13:$E$97,5,0)&amp;""</f>
        <v/>
      </c>
      <c r="F99" s="188"/>
      <c r="G99" s="30" t="str">
        <f>VLOOKUP($A99,Questions!$A$2:$X$333,21,0)&amp;""</f>
        <v>Yes</v>
      </c>
      <c r="H99" s="185"/>
      <c r="I99" s="45" t="str">
        <f>VLOOKUP($A99,Questions!$A$2:$X$333,23,0)&amp;""</f>
        <v>Standard Importance</v>
      </c>
      <c r="J99" s="185"/>
      <c r="K99" s="48" t="b">
        <v>0</v>
      </c>
      <c r="L99" s="1"/>
    </row>
    <row r="100" spans="1:12" s="29" customFormat="1" ht="57" x14ac:dyDescent="0.2">
      <c r="A100" s="19" t="s">
        <v>1038</v>
      </c>
      <c r="B100" s="18" t="str">
        <f>VLOOKUP($A100,Questions!$A$2:$X$333,2,0)</f>
        <v>Do you collect personal information only for the purpose(s) identified in the agreement with an institution or, if there is none, the purpose(s) identified in the privacy notice?</v>
      </c>
      <c r="C100" s="45" t="str">
        <f>VLOOKUP($A100,Privacy!$A$13:$E$97,3,0)&amp;""</f>
        <v/>
      </c>
      <c r="D100" s="34" t="str">
        <f>IF(LEFT(VLOOKUP($A100,Privacy!$A$13:$E$97,5,0),21)='Auto Responses'!$A$32,'Auto Responses'!$A$33,VLOOKUP($A100,Privacy!$A$13:$E$97,4,0))&amp;""</f>
        <v/>
      </c>
      <c r="E100" s="330" t="str">
        <f>VLOOKUP($A100,Privacy!$A$13:$E$97,5,0)&amp;""</f>
        <v>This includes quality assurance, marketing and advertising, etc.</v>
      </c>
      <c r="F100" s="188"/>
      <c r="G100" s="30" t="str">
        <f>VLOOKUP($A100,Questions!$A$2:$X$333,21,0)&amp;""</f>
        <v>Yes</v>
      </c>
      <c r="H100" s="185"/>
      <c r="I100" s="45" t="str">
        <f>VLOOKUP($A100,Questions!$A$2:$X$333,23,0)&amp;""</f>
        <v>Standard Importance</v>
      </c>
      <c r="J100" s="185"/>
      <c r="K100" s="48" t="b">
        <v>0</v>
      </c>
      <c r="L100" s="1"/>
    </row>
    <row r="101" spans="1:12" s="29" customFormat="1" ht="28.5" x14ac:dyDescent="0.2">
      <c r="A101" s="19" t="s">
        <v>1039</v>
      </c>
      <c r="B101" s="18" t="str">
        <f>VLOOKUP($A101,Questions!$A$2:$X$333,2,0)</f>
        <v>Do you have a documented list of personal data your service maintains?</v>
      </c>
      <c r="C101" s="45" t="str">
        <f>VLOOKUP($A101,Privacy!$A$13:$E$97,3,0)&amp;""</f>
        <v/>
      </c>
      <c r="D101" s="34" t="str">
        <f>IF(LEFT(VLOOKUP($A101,Privacy!$A$13:$E$97,5,0),21)='Auto Responses'!$A$32,'Auto Responses'!$A$33,VLOOKUP($A101,Privacy!$A$13:$E$97,4,0))&amp;""</f>
        <v/>
      </c>
      <c r="E101" s="330" t="str">
        <f>VLOOKUP($A101,Privacy!$A$13:$E$97,5,0)&amp;""</f>
        <v/>
      </c>
      <c r="F101" s="188"/>
      <c r="G101" s="30" t="str">
        <f>VLOOKUP($A101,Questions!$A$2:$X$333,21,0)&amp;""</f>
        <v>Yes</v>
      </c>
      <c r="H101" s="185"/>
      <c r="I101" s="45" t="str">
        <f>VLOOKUP($A101,Questions!$A$2:$X$333,23,0)&amp;""</f>
        <v>Standard Importance</v>
      </c>
      <c r="J101" s="185"/>
      <c r="K101" s="48" t="b">
        <v>0</v>
      </c>
      <c r="L101" s="1"/>
    </row>
    <row r="102" spans="1:12" s="29" customFormat="1" ht="57" x14ac:dyDescent="0.2">
      <c r="A102" s="19" t="s">
        <v>1040</v>
      </c>
      <c r="B102" s="18" t="str">
        <f>VLOOKUP($A102,Questions!$A$2:$X$333,2,0)</f>
        <v>Do you retain personal information for only as long as necessary to fulfill the stated purpose(s) or as required by law or regulation and thereafter appropriately dispose of such information?</v>
      </c>
      <c r="C102" s="45" t="str">
        <f>VLOOKUP($A102,Privacy!$A$13:$E$97,3,0)&amp;""</f>
        <v/>
      </c>
      <c r="D102" s="34" t="str">
        <f>IF(LEFT(VLOOKUP($A102,Privacy!$A$13:$E$97,5,0),21)='Auto Responses'!$A$32,'Auto Responses'!$A$33,VLOOKUP($A102,Privacy!$A$13:$E$97,4,0))&amp;""</f>
        <v/>
      </c>
      <c r="E102" s="330" t="str">
        <f>VLOOKUP($A102,Privacy!$A$13:$E$97,5,0)&amp;""</f>
        <v/>
      </c>
      <c r="F102" s="188"/>
      <c r="G102" s="30" t="str">
        <f>VLOOKUP($A102,Questions!$A$2:$X$333,21,0)&amp;""</f>
        <v>Yes</v>
      </c>
      <c r="H102" s="185"/>
      <c r="I102" s="45" t="str">
        <f>VLOOKUP($A102,Questions!$A$2:$X$333,23,0)&amp;""</f>
        <v>Standard Importance</v>
      </c>
      <c r="J102" s="185"/>
      <c r="K102" s="48" t="b">
        <v>0</v>
      </c>
      <c r="L102" s="1"/>
    </row>
    <row r="103" spans="1:12" s="29" customFormat="1" ht="135" x14ac:dyDescent="0.2">
      <c r="A103" s="19" t="s">
        <v>1041</v>
      </c>
      <c r="B103" s="18" t="str">
        <f>VLOOKUP($A103,Questions!$A$2:$X$333,2,0)</f>
        <v>Do you provide individuals with access to their personal information for review and update (i.e., data subject rights)?</v>
      </c>
      <c r="C103" s="45" t="str">
        <f>VLOOKUP($A103,Privacy!$A$13:$E$97,3,0)&amp;""</f>
        <v/>
      </c>
      <c r="D103" s="34" t="str">
        <f>IF(LEFT(VLOOKUP($A103,Privacy!$A$13:$E$97,5,0),21)='Auto Responses'!$A$32,'Auto Responses'!$A$33,VLOOKUP($A103,Privacy!$A$13:$E$97,4,0))&amp;""</f>
        <v/>
      </c>
      <c r="E103" s="330" t="str">
        <f>VLOOKUP($A103,Privacy!$A$13:$E$97,5,0)&amp;""</f>
        <v>Such processes would include descriptions of request processes individuals can follow to review their information and written processes a data subject may use to ask for changes or corrections to data held about them.</v>
      </c>
      <c r="F103" s="188"/>
      <c r="G103" s="30" t="str">
        <f>VLOOKUP($A103,Questions!$A$2:$X$333,21,0)&amp;""</f>
        <v>Yes</v>
      </c>
      <c r="H103" s="185"/>
      <c r="I103" s="45" t="str">
        <f>VLOOKUP($A103,Questions!$A$2:$X$333,23,0)&amp;""</f>
        <v>Standard Importance</v>
      </c>
      <c r="J103" s="185"/>
      <c r="K103" s="48" t="b">
        <v>0</v>
      </c>
      <c r="L103" s="1"/>
    </row>
    <row r="104" spans="1:12" s="29" customFormat="1" ht="57" x14ac:dyDescent="0.2">
      <c r="A104" s="19" t="s">
        <v>1042</v>
      </c>
      <c r="B104" s="18" t="str">
        <f>VLOOKUP($A104,Questions!$A$2:$X$333,2,0)</f>
        <v>Do you disclose personal information to third parties only for the purpose(s) identified in the privacy notice or with the implicit or explicit consent of the individual?</v>
      </c>
      <c r="C104" s="45" t="str">
        <f>VLOOKUP($A104,Privacy!$A$13:$E$97,3,0)&amp;""</f>
        <v/>
      </c>
      <c r="D104" s="34" t="str">
        <f>IF(LEFT(VLOOKUP($A104,Privacy!$A$13:$E$97,5,0),21)='Auto Responses'!$A$32,'Auto Responses'!$A$33,VLOOKUP($A104,Privacy!$A$13:$E$97,4,0))&amp;""</f>
        <v/>
      </c>
      <c r="E104" s="330" t="str">
        <f>VLOOKUP($A104,Privacy!$A$13:$E$97,5,0)&amp;""</f>
        <v/>
      </c>
      <c r="F104" s="188"/>
      <c r="G104" s="30" t="str">
        <f>VLOOKUP($A104,Questions!$A$2:$X$333,21,0)&amp;""</f>
        <v>Yes</v>
      </c>
      <c r="H104" s="185"/>
      <c r="I104" s="45" t="str">
        <f>VLOOKUP($A104,Questions!$A$2:$X$333,23,0)&amp;""</f>
        <v>Standard Importance</v>
      </c>
      <c r="J104" s="185"/>
      <c r="K104" s="48" t="b">
        <v>0</v>
      </c>
      <c r="L104" s="1"/>
    </row>
    <row r="105" spans="1:12" s="29" customFormat="1" ht="28.5" x14ac:dyDescent="0.2">
      <c r="A105" s="19" t="s">
        <v>1043</v>
      </c>
      <c r="B105" s="18" t="str">
        <f>VLOOKUP($A105,Questions!$A$2:$X$333,2,0)</f>
        <v>Do you protect personal information against unauthorized access (both physical and logical)?</v>
      </c>
      <c r="C105" s="45" t="str">
        <f>VLOOKUP($A105,Privacy!$A$13:$E$97,3,0)&amp;""</f>
        <v/>
      </c>
      <c r="D105" s="34" t="str">
        <f>IF(LEFT(VLOOKUP($A105,Privacy!$A$13:$E$97,5,0),21)='Auto Responses'!$A$32,'Auto Responses'!$A$33,VLOOKUP($A105,Privacy!$A$13:$E$97,4,0))&amp;""</f>
        <v/>
      </c>
      <c r="E105" s="330" t="str">
        <f>VLOOKUP($A105,Privacy!$A$13:$E$97,5,0)&amp;""</f>
        <v/>
      </c>
      <c r="F105" s="188"/>
      <c r="G105" s="30" t="str">
        <f>VLOOKUP($A105,Questions!$A$2:$X$333,21,0)&amp;""</f>
        <v>Yes</v>
      </c>
      <c r="H105" s="185"/>
      <c r="I105" s="45" t="str">
        <f>VLOOKUP($A105,Questions!$A$2:$X$333,23,0)&amp;""</f>
        <v>Standard Importance</v>
      </c>
      <c r="J105" s="185"/>
      <c r="K105" s="48" t="b">
        <v>0</v>
      </c>
      <c r="L105" s="1"/>
    </row>
    <row r="106" spans="1:12" s="29" customFormat="1" ht="42.75" x14ac:dyDescent="0.2">
      <c r="A106" s="19" t="s">
        <v>1044</v>
      </c>
      <c r="B106" s="18" t="str">
        <f>VLOOKUP($A106,Questions!$A$2:$X$333,2,0)</f>
        <v>Do you maintain accurate, complete, and relevant personal information for the purposes identified in the privacy notice?</v>
      </c>
      <c r="C106" s="45" t="str">
        <f>VLOOKUP($A106,Privacy!$A$13:$E$97,3,0)&amp;""</f>
        <v/>
      </c>
      <c r="D106" s="34" t="str">
        <f>IF(LEFT(VLOOKUP($A106,Privacy!$A$13:$E$97,5,0),21)='Auto Responses'!$A$32,'Auto Responses'!$A$33,VLOOKUP($A106,Privacy!$A$13:$E$97,4,0))&amp;""</f>
        <v/>
      </c>
      <c r="E106" s="330" t="str">
        <f>VLOOKUP($A106,Privacy!$A$13:$E$97,5,0)&amp;""</f>
        <v/>
      </c>
      <c r="F106" s="188"/>
      <c r="G106" s="30" t="str">
        <f>VLOOKUP($A106,Questions!$A$2:$X$333,21,0)&amp;""</f>
        <v>Yes</v>
      </c>
      <c r="H106" s="185"/>
      <c r="I106" s="45" t="str">
        <f>VLOOKUP($A106,Questions!$A$2:$X$333,23,0)&amp;""</f>
        <v>Standard Importance</v>
      </c>
      <c r="J106" s="185"/>
      <c r="K106" s="48" t="b">
        <v>0</v>
      </c>
      <c r="L106" s="1"/>
    </row>
    <row r="107" spans="1:12" s="29" customFormat="1" ht="28.5" x14ac:dyDescent="0.2">
      <c r="A107" s="19" t="s">
        <v>1045</v>
      </c>
      <c r="B107" s="18" t="str">
        <f>VLOOKUP($A107,Questions!$A$2:$X$333,2,0)</f>
        <v>Do you have procedures to address privacy-related noncompliance complaints and disputes?</v>
      </c>
      <c r="C107" s="45" t="str">
        <f>VLOOKUP($A107,Privacy!$A$13:$E$97,3,0)&amp;""</f>
        <v/>
      </c>
      <c r="D107" s="34" t="str">
        <f>IF(LEFT(VLOOKUP($A107,Privacy!$A$13:$E$97,5,0),21)='Auto Responses'!$A$32,'Auto Responses'!$A$33,VLOOKUP($A107,Privacy!$A$13:$E$97,4,0))&amp;""</f>
        <v/>
      </c>
      <c r="E107" s="330" t="str">
        <f>VLOOKUP($A107,Privacy!$A$13:$E$97,5,0)&amp;""</f>
        <v/>
      </c>
      <c r="F107" s="188"/>
      <c r="G107" s="30" t="str">
        <f>VLOOKUP($A107,Questions!$A$2:$X$333,21,0)&amp;""</f>
        <v>Yes</v>
      </c>
      <c r="H107" s="185"/>
      <c r="I107" s="45" t="str">
        <f>VLOOKUP($A107,Questions!$A$2:$X$333,23,0)&amp;""</f>
        <v>Standard Importance</v>
      </c>
      <c r="J107" s="185"/>
      <c r="K107" s="48" t="b">
        <v>0</v>
      </c>
      <c r="L107" s="1"/>
    </row>
    <row r="108" spans="1:12" s="29" customFormat="1" ht="28.5" x14ac:dyDescent="0.2">
      <c r="A108" s="19" t="s">
        <v>1046</v>
      </c>
      <c r="B108" s="18" t="str">
        <f>VLOOKUP($A108,Questions!$A$2:$X$333,2,0)</f>
        <v>Do you "anonymize," "de-identify," or otherwise mask personal data?</v>
      </c>
      <c r="C108" s="45" t="str">
        <f>VLOOKUP($A108,Privacy!$A$13:$E$97,3,0)&amp;""</f>
        <v/>
      </c>
      <c r="D108" s="34" t="str">
        <f>IF(LEFT(VLOOKUP($A108,Privacy!$A$13:$E$97,5,0),21)='Auto Responses'!$A$32,'Auto Responses'!$A$33,VLOOKUP($A108,Privacy!$A$13:$E$97,4,0))&amp;""</f>
        <v/>
      </c>
      <c r="E108" s="330" t="str">
        <f>VLOOKUP($A108,Privacy!$A$13:$E$97,5,0)&amp;""</f>
        <v/>
      </c>
      <c r="F108" s="188"/>
      <c r="G108" s="30" t="str">
        <f>VLOOKUP($A108,Questions!$A$2:$X$333,21,0)&amp;""</f>
        <v>Yes</v>
      </c>
      <c r="H108" s="185"/>
      <c r="I108" s="45" t="str">
        <f>VLOOKUP($A108,Questions!$A$2:$X$333,23,0)&amp;""</f>
        <v>Standard Importance</v>
      </c>
      <c r="J108" s="185"/>
      <c r="K108" s="48" t="b">
        <v>0</v>
      </c>
      <c r="L108" s="1"/>
    </row>
    <row r="109" spans="1:12" s="29" customFormat="1" ht="99.75" x14ac:dyDescent="0.2">
      <c r="A109" s="19" t="s">
        <v>1047</v>
      </c>
      <c r="B109" s="18" t="str">
        <f>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45" t="str">
        <f>VLOOKUP($A109,Privacy!$A$13:$E$97,3,0)&amp;""</f>
        <v/>
      </c>
      <c r="D109" s="34" t="str">
        <f>IF(LEFT(VLOOKUP($A109,Privacy!$A$13:$E$97,5,0),21)='Auto Responses'!$A$32,'Auto Responses'!$A$33,VLOOKUP($A109,Privacy!$A$13:$E$97,4,0))&amp;""</f>
        <v/>
      </c>
      <c r="E109" s="330" t="str">
        <f>VLOOKUP($A109,Privacy!$A$13:$E$97,5,0)&amp;""</f>
        <v/>
      </c>
      <c r="F109" s="188"/>
      <c r="G109" s="30" t="str">
        <f>VLOOKUP($A109,Questions!$A$2:$X$333,21,0)&amp;""</f>
        <v>No</v>
      </c>
      <c r="H109" s="185"/>
      <c r="I109" s="45" t="str">
        <f>VLOOKUP($A109,Questions!$A$2:$X$333,23,0)&amp;""</f>
        <v>Standard Importance</v>
      </c>
      <c r="J109" s="185"/>
      <c r="K109" s="48" t="b">
        <v>0</v>
      </c>
      <c r="L109" s="1"/>
    </row>
    <row r="110" spans="1:12" s="29" customFormat="1" ht="120" x14ac:dyDescent="0.2">
      <c r="A110" s="19" t="s">
        <v>1048</v>
      </c>
      <c r="B110" s="18" t="str">
        <f>VLOOKUP($A110,Questions!$A$2:$X$333,2,0)</f>
        <v>Do you certify stop-processing requests, including any data that is processed by a third party on your behalf?</v>
      </c>
      <c r="C110" s="45" t="str">
        <f>VLOOKUP($A110,Privacy!$A$13:$E$97,3,0)&amp;""</f>
        <v/>
      </c>
      <c r="D110" s="34" t="str">
        <f>IF(LEFT(VLOOKUP($A110,Privacy!$A$13:$E$97,5,0),21)='Auto Responses'!$A$32,'Auto Responses'!$A$33,VLOOKUP($A110,Privacy!$A$13:$E$97,4,0))&amp;""</f>
        <v/>
      </c>
      <c r="E110" s="330" t="str">
        <f>VLOOKUP($A110,Privacy!$A$13:$E$97,5,0)&amp;""</f>
        <v>Provide evidence of existing processes or policies. The internal privacy policy should explain your organization's policies and practices regarding the collection of personal information and other data about individuals.</v>
      </c>
      <c r="F110" s="188"/>
      <c r="G110" s="30" t="str">
        <f>VLOOKUP($A110,Questions!$A$2:$X$333,21,0)&amp;""</f>
        <v>Yes</v>
      </c>
      <c r="H110" s="185"/>
      <c r="I110" s="45" t="str">
        <f>VLOOKUP($A110,Questions!$A$2:$X$333,23,0)&amp;""</f>
        <v>Standard Importance</v>
      </c>
      <c r="J110" s="185"/>
      <c r="K110" s="48" t="b">
        <v>0</v>
      </c>
      <c r="L110" s="1"/>
    </row>
    <row r="111" spans="1:12" s="29" customFormat="1" ht="28.5" x14ac:dyDescent="0.2">
      <c r="A111" s="19" t="s">
        <v>1049</v>
      </c>
      <c r="B111" s="18" t="str">
        <f>VLOOKUP($A111,Questions!$A$2:$X$333,2,0)</f>
        <v>Do you have a process to review code for ethical considerations?</v>
      </c>
      <c r="C111" s="45" t="str">
        <f>VLOOKUP($A111,Privacy!$A$13:$E$97,3,0)&amp;""</f>
        <v/>
      </c>
      <c r="D111" s="34" t="str">
        <f>IF(LEFT(VLOOKUP($A111,Privacy!$A$13:$E$97,5,0),21)='Auto Responses'!$A$32,'Auto Responses'!$A$33,VLOOKUP($A111,Privacy!$A$13:$E$97,4,0))&amp;""</f>
        <v/>
      </c>
      <c r="E111" s="330" t="str">
        <f>VLOOKUP($A111,Privacy!$A$13:$E$97,5,0)&amp;""</f>
        <v/>
      </c>
      <c r="F111" s="188"/>
      <c r="G111" s="30" t="str">
        <f>VLOOKUP($A111,Questions!$A$2:$X$333,21,0)&amp;""</f>
        <v>Yes</v>
      </c>
      <c r="H111" s="185"/>
      <c r="I111" s="45" t="str">
        <f>VLOOKUP($A111,Questions!$A$2:$X$333,23,0)&amp;""</f>
        <v>Standard Importance</v>
      </c>
      <c r="J111" s="185"/>
      <c r="K111" s="48" t="b">
        <v>0</v>
      </c>
      <c r="L111" s="1"/>
    </row>
    <row r="112" spans="1:12" s="1" customFormat="1" ht="18" x14ac:dyDescent="0.2">
      <c r="A112" s="63" t="str">
        <f>VLOOKUP(LEFT($A113,4),'Auto Responses'!$N$4:$O$38,2,0)&amp;""</f>
        <v xml:space="preserve"> Privacy and AI</v>
      </c>
      <c r="B112" s="22"/>
      <c r="C112" s="31"/>
      <c r="D112" s="31"/>
      <c r="E112" s="331"/>
      <c r="F112" s="132" t="s">
        <v>1030</v>
      </c>
      <c r="G112" s="335" t="s">
        <v>869</v>
      </c>
      <c r="H112" s="335" t="s">
        <v>871</v>
      </c>
      <c r="I112" s="335" t="s">
        <v>19</v>
      </c>
      <c r="J112" s="335" t="s">
        <v>856</v>
      </c>
      <c r="K112" s="31"/>
    </row>
    <row r="113" spans="1:12" s="29" customFormat="1" ht="28.5" x14ac:dyDescent="0.2">
      <c r="A113" s="19" t="s">
        <v>1050</v>
      </c>
      <c r="B113" s="18" t="str">
        <f>VLOOKUP($A113,Questions!$A$2:$X$333,2,0)</f>
        <v>Does your service use AI for the processing of institutional data?</v>
      </c>
      <c r="C113" s="45" t="str">
        <f>VLOOKUP($A113,Privacy!$A$13:$E$97,3,0)&amp;""</f>
        <v/>
      </c>
      <c r="D113" s="34" t="str">
        <f>IF(LEFT(VLOOKUP($A113,Privacy!$A$13:$E$97,5,0),21)='Auto Responses'!$A$32,'Auto Responses'!$A$33,VLOOKUP($A113,Privacy!$A$13:$E$97,4,0))&amp;""</f>
        <v/>
      </c>
      <c r="E113" s="330" t="str">
        <f>VLOOKUP($A113,Privacy!$A$13:$E$97,5,0)&amp;""</f>
        <v/>
      </c>
      <c r="F113" s="188"/>
      <c r="G113" s="30" t="str">
        <f>VLOOKUP($A113,Questions!$A$2:$X$333,21,0)&amp;""</f>
        <v>No</v>
      </c>
      <c r="H113" s="185"/>
      <c r="I113" s="45" t="str">
        <f>VLOOKUP($A113,Questions!$A$2:$X$333,23,0)&amp;""</f>
        <v>Standard Importance</v>
      </c>
      <c r="J113" s="185"/>
      <c r="K113" s="48" t="b">
        <v>0</v>
      </c>
      <c r="L113" s="1"/>
    </row>
    <row r="114" spans="1:12" s="29" customFormat="1" ht="15" x14ac:dyDescent="0.2">
      <c r="A114" s="19" t="s">
        <v>1051</v>
      </c>
      <c r="B114" s="18" t="str">
        <f>VLOOKUP($A114,Questions!$A$2:$X$333,2,0)</f>
        <v>Is any institutional data retained in AI processing?*</v>
      </c>
      <c r="C114" s="45" t="str">
        <f>VLOOKUP($A114,Privacy!$A$13:$E$97,3,0)&amp;""</f>
        <v/>
      </c>
      <c r="D114" s="34" t="str">
        <f>IF(LEFT(VLOOKUP($A114,Privacy!$A$13:$E$97,5,0),21)='Auto Responses'!$A$32,'Auto Responses'!$A$33,VLOOKUP($A114,Privacy!$A$13:$E$97,4,0))&amp;""</f>
        <v/>
      </c>
      <c r="E114" s="330" t="str">
        <f>VLOOKUP($A114,Privacy!$A$13:$E$97,5,0)&amp;""</f>
        <v/>
      </c>
      <c r="F114" s="188"/>
      <c r="G114" s="30" t="str">
        <f>VLOOKUP($A114,Questions!$A$2:$X$333,21,0)&amp;""</f>
        <v>No</v>
      </c>
      <c r="H114" s="185"/>
      <c r="I114" s="45" t="str">
        <f>VLOOKUP($A114,Questions!$A$2:$X$333,23,0)&amp;""</f>
        <v>Critical Importance</v>
      </c>
      <c r="J114" s="185"/>
      <c r="K114" s="48" t="b">
        <v>0</v>
      </c>
      <c r="L114" s="1"/>
    </row>
    <row r="115" spans="1:12" s="29" customFormat="1" ht="42.75" x14ac:dyDescent="0.2">
      <c r="A115" s="19" t="s">
        <v>773</v>
      </c>
      <c r="B115" s="18" t="str">
        <f>VLOOKUP($A115,Questions!$A$2:$X$333,2,0)</f>
        <v>Do you have agreements in place with third parties or subprocessors regarding the protection of customer data and use of AI?*</v>
      </c>
      <c r="C115" s="45" t="str">
        <f>VLOOKUP($A115,Privacy!$A$13:$E$97,3,0)&amp;""</f>
        <v/>
      </c>
      <c r="D115" s="34" t="str">
        <f>IF(LEFT(VLOOKUP($A115,Privacy!$A$13:$E$97,5,0),21)='Auto Responses'!$A$32,'Auto Responses'!$A$33,VLOOKUP($A115,Privacy!$A$13:$E$97,4,0))&amp;""</f>
        <v/>
      </c>
      <c r="E115" s="330" t="str">
        <f>VLOOKUP($A115,Privacy!$A$13:$E$97,5,0)&amp;""</f>
        <v/>
      </c>
      <c r="F115" s="188"/>
      <c r="G115" s="30" t="str">
        <f>VLOOKUP($A115,Questions!$A$2:$X$333,21,0)&amp;""</f>
        <v>Yes</v>
      </c>
      <c r="H115" s="185"/>
      <c r="I115" s="45" t="str">
        <f>VLOOKUP($A115,Questions!$A$2:$X$333,23,0)&amp;""</f>
        <v>Critical Importance</v>
      </c>
      <c r="J115" s="185"/>
      <c r="K115" s="48" t="b">
        <v>0</v>
      </c>
      <c r="L115" s="1"/>
    </row>
    <row r="116" spans="1:12" s="29" customFormat="1" ht="28.5" x14ac:dyDescent="0.2">
      <c r="A116" s="19" t="s">
        <v>775</v>
      </c>
      <c r="B116" s="18" t="str">
        <f>VLOOKUP($A116,Questions!$A$2:$X$333,2,0)</f>
        <v>Will institutional data be processed through a third party or subprocessor that also uses AI?</v>
      </c>
      <c r="C116" s="45" t="str">
        <f>VLOOKUP($A116,Privacy!$A$13:$E$97,3,0)&amp;""</f>
        <v/>
      </c>
      <c r="D116" s="34" t="str">
        <f>IF(LEFT(VLOOKUP($A116,Privacy!$A$13:$E$97,5,0),21)='Auto Responses'!$A$32,'Auto Responses'!$A$33,VLOOKUP($A116,Privacy!$A$13:$E$97,4,0))&amp;""</f>
        <v/>
      </c>
      <c r="E116" s="330" t="str">
        <f>VLOOKUP($A116,Privacy!$A$13:$E$97,5,0)&amp;""</f>
        <v/>
      </c>
      <c r="F116" s="188"/>
      <c r="G116" s="30" t="str">
        <f>VLOOKUP($A116,Questions!$A$2:$X$333,21,0)&amp;""</f>
        <v>No</v>
      </c>
      <c r="H116" s="185"/>
      <c r="I116" s="45" t="str">
        <f>VLOOKUP($A116,Questions!$A$2:$X$333,23,0)&amp;""</f>
        <v>Standard Importance</v>
      </c>
      <c r="J116" s="185"/>
      <c r="K116" s="48" t="b">
        <v>0</v>
      </c>
      <c r="L116" s="1"/>
    </row>
    <row r="117" spans="1:12" s="29" customFormat="1" ht="28.5" x14ac:dyDescent="0.2">
      <c r="A117" s="19" t="s">
        <v>776</v>
      </c>
      <c r="B117" s="18" t="str">
        <f>VLOOKUP($A117,Questions!$A$2:$X$333,2,0)</f>
        <v>Is AI processing limited to fully licensed commercial enterprise AI services?</v>
      </c>
      <c r="C117" s="45" t="str">
        <f>VLOOKUP($A117,Privacy!$A$13:$E$97,3,0)&amp;""</f>
        <v/>
      </c>
      <c r="D117" s="34" t="str">
        <f>IF(LEFT(VLOOKUP($A117,Privacy!$A$13:$E$97,5,0),21)='Auto Responses'!$A$32,'Auto Responses'!$A$33,VLOOKUP($A117,Privacy!$A$13:$E$97,4,0))&amp;""</f>
        <v/>
      </c>
      <c r="E117" s="330" t="str">
        <f>VLOOKUP($A117,Privacy!$A$13:$E$97,5,0)&amp;""</f>
        <v/>
      </c>
      <c r="F117" s="188"/>
      <c r="G117" s="30" t="str">
        <f>VLOOKUP($A117,Questions!$A$2:$X$333,21,0)&amp;""</f>
        <v>Yes</v>
      </c>
      <c r="H117" s="185"/>
      <c r="I117" s="45" t="str">
        <f>VLOOKUP($A117,Questions!$A$2:$X$333,23,0)&amp;""</f>
        <v>Minor Importance</v>
      </c>
      <c r="J117" s="185"/>
      <c r="K117" s="48" t="b">
        <v>0</v>
      </c>
      <c r="L117" s="1"/>
    </row>
    <row r="118" spans="1:12" s="29" customFormat="1" ht="135" x14ac:dyDescent="0.2">
      <c r="A118" s="19" t="s">
        <v>778</v>
      </c>
      <c r="B118" s="18" t="str">
        <f>VLOOKUP($A118,Questions!$A$2:$X$333,2,0)</f>
        <v>Will institutional data be used or processed by any shared AI services?</v>
      </c>
      <c r="C118" s="45" t="str">
        <f>VLOOKUP($A118,Privacy!$A$13:$E$97,3,0)&amp;""</f>
        <v/>
      </c>
      <c r="D118" s="34" t="str">
        <f>IF(LEFT(VLOOKUP($A118,Privacy!$A$13:$E$97,5,0),21)='Auto Responses'!$A$32,'Auto Responses'!$A$33,VLOOKUP($A118,Privacy!$A$13:$E$97,4,0))&amp;""</f>
        <v/>
      </c>
      <c r="E118" s="330" t="str">
        <f>VLOOKUP($A118,Privacy!$A$13:$E$97,5,0)&amp;""</f>
        <v>Provide detailed response to the type of data needed for the AI service to function appropriately, the sources of the data, and whether any data shared with the AI service comes from data sources outside the institution.</v>
      </c>
      <c r="F118" s="188"/>
      <c r="G118" s="30" t="str">
        <f>VLOOKUP($A118,Questions!$A$2:$X$333,21,0)&amp;""</f>
        <v>No</v>
      </c>
      <c r="H118" s="185"/>
      <c r="I118" s="45" t="str">
        <f>VLOOKUP($A118,Questions!$A$2:$X$333,23,0)&amp;""</f>
        <v>Minor Importance</v>
      </c>
      <c r="J118" s="185"/>
      <c r="K118" s="48" t="b">
        <v>0</v>
      </c>
      <c r="L118" s="1"/>
    </row>
    <row r="119" spans="1:12" s="29" customFormat="1" ht="42.75" x14ac:dyDescent="0.2">
      <c r="A119" s="19" t="s">
        <v>779</v>
      </c>
      <c r="B119" s="18" t="str">
        <f>VLOOKUP($A119,Questions!$A$2:$X$333,2,0)</f>
        <v>Do you have safeguards in place to protect institutional data and data privacy from unintended AI queries or processing?</v>
      </c>
      <c r="C119" s="45" t="str">
        <f>VLOOKUP($A119,Privacy!$A$13:$E$97,3,0)&amp;""</f>
        <v/>
      </c>
      <c r="D119" s="34" t="str">
        <f>IF(LEFT(VLOOKUP($A119,Privacy!$A$13:$E$97,5,0),21)='Auto Responses'!$A$32,'Auto Responses'!$A$33,VLOOKUP($A119,Privacy!$A$13:$E$97,4,0))&amp;""</f>
        <v/>
      </c>
      <c r="E119" s="330" t="str">
        <f>VLOOKUP($A119,Privacy!$A$13:$E$97,5,0)&amp;""</f>
        <v/>
      </c>
      <c r="F119" s="188"/>
      <c r="G119" s="30" t="str">
        <f>VLOOKUP($A119,Questions!$A$2:$X$333,21,0)&amp;""</f>
        <v>Yes</v>
      </c>
      <c r="H119" s="185"/>
      <c r="I119" s="45" t="str">
        <f>VLOOKUP($A119,Questions!$A$2:$X$333,23,0)&amp;""</f>
        <v>Minor Importance</v>
      </c>
      <c r="J119" s="185"/>
      <c r="K119" s="48" t="b">
        <v>0</v>
      </c>
      <c r="L119" s="1"/>
    </row>
    <row r="120" spans="1:12" s="29" customFormat="1" ht="28.5" x14ac:dyDescent="0.2">
      <c r="A120" s="19" t="s">
        <v>780</v>
      </c>
      <c r="B120" s="18" t="str">
        <f>VLOOKUP($A120,Questions!$A$2:$X$333,2,0)</f>
        <v>Do you provide choice to the user to opt out of AI use?</v>
      </c>
      <c r="C120" s="45" t="str">
        <f>VLOOKUP($A120,Privacy!$A$13:$E$97,3,0)&amp;""</f>
        <v/>
      </c>
      <c r="D120" s="34" t="str">
        <f>IF(LEFT(VLOOKUP($A120,Privacy!$A$13:$E$97,5,0),21)='Auto Responses'!$A$32,'Auto Responses'!$A$33,VLOOKUP($A120,Privacy!$A$13:$E$97,4,0))&amp;""</f>
        <v/>
      </c>
      <c r="E120" s="330" t="str">
        <f>VLOOKUP($A120,Privacy!$A$13:$E$97,5,0)&amp;""</f>
        <v/>
      </c>
      <c r="F120" s="188"/>
      <c r="G120" s="30" t="str">
        <f>VLOOKUP($A120,Questions!$A$2:$X$333,21,0)&amp;""</f>
        <v>Yes</v>
      </c>
      <c r="H120" s="185"/>
      <c r="I120" s="45" t="str">
        <f>VLOOKUP($A120,Questions!$A$2:$X$333,23,0)&amp;""</f>
        <v>Minor Importance</v>
      </c>
      <c r="J120" s="185"/>
      <c r="K120" s="48" t="b">
        <v>0</v>
      </c>
      <c r="L120" s="1"/>
    </row>
    <row r="121" spans="1:12" ht="15" x14ac:dyDescent="0.2"/>
    <row r="122" spans="1:12" ht="15" x14ac:dyDescent="0.2"/>
    <row r="123" spans="1:12" s="1" customFormat="1" ht="18.75" thickBot="1" x14ac:dyDescent="0.25">
      <c r="A123" s="218" t="s">
        <v>1508</v>
      </c>
      <c r="B123" s="219"/>
      <c r="C123" s="220"/>
      <c r="D123" s="220"/>
      <c r="E123" s="220"/>
      <c r="F123" s="221"/>
      <c r="G123" s="220"/>
      <c r="H123" s="220"/>
      <c r="I123" s="220"/>
      <c r="J123" s="220"/>
      <c r="K123" s="220"/>
    </row>
    <row r="124" spans="1:12" s="29" customFormat="1" ht="30.75" thickBot="1" x14ac:dyDescent="0.25">
      <c r="A124" s="26" t="s">
        <v>851</v>
      </c>
      <c r="B124" s="27" t="s">
        <v>1</v>
      </c>
      <c r="C124" s="27" t="s">
        <v>852</v>
      </c>
      <c r="D124" s="28" t="s">
        <v>72</v>
      </c>
      <c r="E124" s="27" t="s">
        <v>848</v>
      </c>
      <c r="F124" s="187" t="s">
        <v>849</v>
      </c>
      <c r="G124" s="46" t="s">
        <v>869</v>
      </c>
      <c r="H124" s="43" t="s">
        <v>871</v>
      </c>
      <c r="I124" s="43" t="s">
        <v>19</v>
      </c>
      <c r="J124" s="44" t="s">
        <v>856</v>
      </c>
      <c r="K124" s="47" t="s">
        <v>867</v>
      </c>
      <c r="L124" s="1"/>
    </row>
    <row r="125" spans="1:12" s="1" customFormat="1" ht="18" x14ac:dyDescent="0.2">
      <c r="A125" s="63" t="str">
        <f>VLOOKUP(LEFT($A126,4),'Auto Responses'!$N$4:$O$38,2,0)&amp;""</f>
        <v xml:space="preserve"> Company Information</v>
      </c>
      <c r="B125" s="22"/>
      <c r="C125" s="31"/>
      <c r="D125" s="31"/>
      <c r="E125" s="31"/>
      <c r="F125" s="132" t="s">
        <v>1030</v>
      </c>
      <c r="G125" s="31"/>
      <c r="H125" s="31"/>
      <c r="I125" s="31"/>
      <c r="J125" s="31"/>
      <c r="K125" s="31"/>
    </row>
    <row r="126" spans="1:12" s="29" customFormat="1" ht="42.75" x14ac:dyDescent="0.2">
      <c r="A126" s="19" t="s">
        <v>35</v>
      </c>
      <c r="B126" s="18" t="str">
        <f>VLOOKUP($A126,Questions!$A$2:$X$333,2,0)</f>
        <v>Do you have a dedicated software and system development team(s) (e.g., customer support, implementation, product management, etc.)?*</v>
      </c>
      <c r="C126" s="45" t="str">
        <f>VLOOKUP($A126,'Institution Evaluation'!$A$56:$K$345,3,0)&amp;""</f>
        <v/>
      </c>
      <c r="D126" s="45" t="str">
        <f>VLOOKUP($A126,'Institution Evaluation'!$A$56:$K$345,4,0)&amp;""</f>
        <v/>
      </c>
      <c r="E126" s="330" t="str">
        <f>VLOOKUP($A126,'Institution Evaluation'!$A$56:$K$345,5,0)&amp;""</f>
        <v/>
      </c>
      <c r="F126" s="188" t="str">
        <f>VLOOKUP($A126,'Institution Evaluation'!$A$56:$K$345,6,0)&amp;""</f>
        <v/>
      </c>
      <c r="G126" s="30" t="str">
        <f>VLOOKUP($A126,'Institution Evaluation'!$A$56:$K$345,7,0)&amp;""</f>
        <v>Yes</v>
      </c>
      <c r="H126" s="185" t="str">
        <f>VLOOKUP($A126,'Institution Evaluation'!$A$56:$K$345,8,0)&amp;""</f>
        <v/>
      </c>
      <c r="I126" s="45" t="str">
        <f>VLOOKUP($A126,'Institution Evaluation'!$A$56:$K$345,9,0)&amp;""</f>
        <v>Standard Importance</v>
      </c>
      <c r="J126" s="186" t="str">
        <f>VLOOKUP($A126,'Institution Evaluation'!$A$56:$K$345,10,0)&amp;""</f>
        <v/>
      </c>
      <c r="K126" s="48" t="str">
        <f>IF(VLOOKUP($A126,'Institution Evaluation'!$A$56:$K$345,10,0)=TRUE,'Auto Responses'!$J$3,"")</f>
        <v/>
      </c>
      <c r="L126" s="48" t="str">
        <f>IF(VLOOKUP($A126,'Institution Evaluation'!$A$56:$K$345,10,0)=TRUE,'Auto Responses'!$J$3,"")</f>
        <v/>
      </c>
    </row>
    <row r="127" spans="1:12" ht="45" x14ac:dyDescent="0.2">
      <c r="A127" s="19" t="s">
        <v>42</v>
      </c>
      <c r="B127" s="18" t="str">
        <f>VLOOKUP($A127,Questions!$A$2:$X$333,2,0)</f>
        <v>Describe your organization’s business background and ownership structure, including all parent and subsidiary relationships.</v>
      </c>
      <c r="C127" s="45" t="str">
        <f>VLOOKUP($A127,'Institution Evaluation'!$A$56:$K$345,3,0)&amp;""</f>
        <v/>
      </c>
      <c r="D127" s="45" t="str">
        <f>VLOOKUP($A127,'Institution Evaluation'!$A$56:$K$345,4,0)&amp;""</f>
        <v/>
      </c>
      <c r="E127" s="330" t="str">
        <f>VLOOKUP($A127,'Institution Evaluation'!$A$56:$K$345,5,0)&amp;""</f>
        <v>Include circumstances that may involve offshoring or multinational agreements.</v>
      </c>
      <c r="F127" s="188" t="str">
        <f>VLOOKUP($A127,'Institution Evaluation'!$A$56:$K$345,6,0)&amp;""</f>
        <v/>
      </c>
      <c r="G127" s="30" t="str">
        <f>VLOOKUP($A127,'Institution Evaluation'!$A$56:$K$345,7,0)&amp;""</f>
        <v>Not scored</v>
      </c>
      <c r="H127" s="185" t="str">
        <f>VLOOKUP($A127,'Institution Evaluation'!$A$56:$K$345,8,0)&amp;""</f>
        <v/>
      </c>
      <c r="I127" s="45" t="str">
        <f>VLOOKUP($A127,'Institution Evaluation'!$A$56:$K$345,9,0)&amp;""</f>
        <v/>
      </c>
      <c r="J127" s="186" t="str">
        <f>VLOOKUP($A127,'Institution Evaluation'!$A$56:$K$345,10,0)&amp;""</f>
        <v/>
      </c>
      <c r="K127" s="48" t="str">
        <f>IF(VLOOKUP($A127,'Institution Evaluation'!$A$56:$K$345,10,0)=TRUE,'Auto Responses'!$J$3,"")</f>
        <v/>
      </c>
    </row>
    <row r="128" spans="1:12" ht="28.5" x14ac:dyDescent="0.2">
      <c r="A128" s="19" t="s">
        <v>44</v>
      </c>
      <c r="B128" s="18" t="str">
        <f>VLOOKUP($A128,Questions!$A$2:$X$333,2,0)</f>
        <v>Have you operated without unplanned disruptions to this solution in the past 12 months?</v>
      </c>
      <c r="C128" s="45" t="str">
        <f>VLOOKUP($A128,'Institution Evaluation'!$A$56:$K$345,3,0)&amp;""</f>
        <v/>
      </c>
      <c r="D128" s="45" t="str">
        <f>VLOOKUP($A128,'Institution Evaluation'!$A$56:$K$345,4,0)&amp;""</f>
        <v/>
      </c>
      <c r="E128" s="330" t="str">
        <f>VLOOKUP($A128,'Institution Evaluation'!$A$56:$K$345,5,0)&amp;""</f>
        <v/>
      </c>
      <c r="F128" s="188" t="str">
        <f>VLOOKUP($A128,'Institution Evaluation'!$A$56:$K$345,6,0)&amp;""</f>
        <v/>
      </c>
      <c r="G128" s="30" t="str">
        <f>VLOOKUP($A128,'Institution Evaluation'!$A$56:$K$345,7,0)&amp;""</f>
        <v>Yes</v>
      </c>
      <c r="H128" s="185" t="str">
        <f>VLOOKUP($A128,'Institution Evaluation'!$A$56:$K$345,8,0)&amp;""</f>
        <v/>
      </c>
      <c r="I128" s="45" t="str">
        <f>VLOOKUP($A128,'Institution Evaluation'!$A$56:$K$345,9,0)&amp;""</f>
        <v>Minor Importance</v>
      </c>
      <c r="J128" s="186" t="str">
        <f>VLOOKUP($A128,'Institution Evaluation'!$A$56:$K$345,10,0)&amp;""</f>
        <v/>
      </c>
      <c r="K128" s="48" t="str">
        <f>IF(VLOOKUP($A128,'Institution Evaluation'!$A$56:$K$345,10,0)=TRUE,'Auto Responses'!$J$3,"")</f>
        <v/>
      </c>
    </row>
    <row r="129" spans="1:11" ht="28.5" x14ac:dyDescent="0.2">
      <c r="A129" s="19" t="s">
        <v>45</v>
      </c>
      <c r="B129" s="18" t="str">
        <f>VLOOKUP($A129,Questions!$A$2:$X$333,2,0)</f>
        <v>Do you have a dedicated information security staff or office?</v>
      </c>
      <c r="C129" s="45" t="str">
        <f>VLOOKUP($A129,'Institution Evaluation'!$A$56:$K$345,3,0)&amp;""</f>
        <v/>
      </c>
      <c r="D129" s="45" t="str">
        <f>VLOOKUP($A129,'Institution Evaluation'!$A$56:$K$345,4,0)&amp;""</f>
        <v/>
      </c>
      <c r="E129" s="330" t="str">
        <f>VLOOKUP($A129,'Institution Evaluation'!$A$56:$K$345,5,0)&amp;""</f>
        <v/>
      </c>
      <c r="F129" s="188" t="str">
        <f>VLOOKUP($A129,'Institution Evaluation'!$A$56:$K$345,6,0)&amp;""</f>
        <v/>
      </c>
      <c r="G129" s="30" t="str">
        <f>VLOOKUP($A129,'Institution Evaluation'!$A$56:$K$345,7,0)&amp;""</f>
        <v>Yes</v>
      </c>
      <c r="H129" s="185" t="str">
        <f>VLOOKUP($A129,'Institution Evaluation'!$A$56:$K$345,8,0)&amp;""</f>
        <v/>
      </c>
      <c r="I129" s="45" t="str">
        <f>VLOOKUP($A129,'Institution Evaluation'!$A$56:$K$345,9,0)&amp;""</f>
        <v>Minor Importance</v>
      </c>
      <c r="J129" s="186" t="str">
        <f>VLOOKUP($A129,'Institution Evaluation'!$A$56:$K$345,10,0)&amp;""</f>
        <v/>
      </c>
      <c r="K129" s="48" t="str">
        <f>IF(VLOOKUP($A129,'Institution Evaluation'!$A$56:$K$345,10,0)=TRUE,'Auto Responses'!$J$3,"")</f>
        <v/>
      </c>
    </row>
    <row r="130" spans="1:11" s="1" customFormat="1" ht="18" x14ac:dyDescent="0.2">
      <c r="A130" s="63" t="str">
        <f>VLOOKUP(LEFT($A131,4),'Auto Responses'!$N$4:$O$38,2,0)&amp;""</f>
        <v xml:space="preserve"> Required Questions</v>
      </c>
      <c r="B130" s="22"/>
      <c r="C130" s="31"/>
      <c r="D130" s="31"/>
      <c r="E130" s="331"/>
      <c r="F130" s="132" t="s">
        <v>1030</v>
      </c>
      <c r="G130" s="335" t="s">
        <v>869</v>
      </c>
      <c r="H130" s="335" t="s">
        <v>871</v>
      </c>
      <c r="I130" s="335" t="s">
        <v>19</v>
      </c>
      <c r="J130" s="335" t="s">
        <v>856</v>
      </c>
      <c r="K130" s="31"/>
    </row>
    <row r="131" spans="1:11" ht="42.75" x14ac:dyDescent="0.2">
      <c r="A131" s="19" t="s">
        <v>58</v>
      </c>
      <c r="B131" s="18" t="str">
        <f>VLOOKUP($A131,Questions!$A$2:$X$333,2,0)</f>
        <v>Does your solution have AI features, or are there plans to implement AI features in the next 12 months?</v>
      </c>
      <c r="C131" s="45" t="str">
        <f>VLOOKUP($A131,'Institution Evaluation'!$A$56:$K$345,3,0)&amp;""</f>
        <v/>
      </c>
      <c r="D131" s="45" t="str">
        <f>VLOOKUP($A131,'Institution Evaluation'!$A$56:$K$345,4,0)&amp;""</f>
        <v/>
      </c>
      <c r="E131" s="330" t="str">
        <f>VLOOKUP($A131,'Institution Evaluation'!$A$56:$K$345,5,0)&amp;""</f>
        <v/>
      </c>
      <c r="F131" s="188" t="str">
        <f>VLOOKUP($A131,'Institution Evaluation'!$A$56:$K$345,6,0)&amp;""</f>
        <v/>
      </c>
      <c r="G131" s="30" t="str">
        <f>VLOOKUP($A131,'Institution Evaluation'!$A$56:$K$345,7,0)&amp;""</f>
        <v>Not scored</v>
      </c>
      <c r="H131" s="185" t="str">
        <f>VLOOKUP($A131,'Institution Evaluation'!$A$56:$K$345,8,0)&amp;""</f>
        <v/>
      </c>
      <c r="I131" s="45" t="str">
        <f>VLOOKUP($A131,'Institution Evaluation'!$A$56:$K$345,9,0)&amp;""</f>
        <v/>
      </c>
      <c r="J131" s="186" t="str">
        <f>VLOOKUP($A131,'Institution Evaluation'!$A$56:$K$345,10,0)&amp;""</f>
        <v/>
      </c>
      <c r="K131" s="48" t="str">
        <f>IF(VLOOKUP($A131,'Institution Evaluation'!$A$56:$K$345,10,0)=TRUE,'Auto Responses'!$J$3,"")</f>
        <v/>
      </c>
    </row>
    <row r="132" spans="1:11" ht="60" x14ac:dyDescent="0.2">
      <c r="A132" s="19" t="s">
        <v>61</v>
      </c>
      <c r="B132" s="18" t="str">
        <f>VLOOKUP($A132,Questions!$A$2:$X$333,2,0)</f>
        <v>Does your solution process protected health information (PHI) or any data covered by the Health Insurance Portability and Accountability Act (HIPAA)?</v>
      </c>
      <c r="C132" s="45" t="str">
        <f>VLOOKUP($A132,'Institution Evaluation'!$A$56:$K$345,3,0)&amp;""</f>
        <v/>
      </c>
      <c r="D132" s="45" t="str">
        <f>VLOOKUP($A132,'Institution Evaluation'!$A$56:$K$345,4,0)&amp;""</f>
        <v/>
      </c>
      <c r="E132" s="330" t="str">
        <f>VLOOKUP($A132,'Institution Evaluation'!$A$56:$K$345,5,0)&amp;""</f>
        <v>Answer "yes" if your solution handles personal health information (PHI), either directly or via a third party.</v>
      </c>
      <c r="F132" s="188" t="str">
        <f>VLOOKUP($A132,'Institution Evaluation'!$A$56:$K$345,6,0)&amp;""</f>
        <v/>
      </c>
      <c r="G132" s="30" t="str">
        <f>VLOOKUP($A132,'Institution Evaluation'!$A$56:$K$345,7,0)&amp;""</f>
        <v>Not scored</v>
      </c>
      <c r="H132" s="185" t="str">
        <f>VLOOKUP($A132,'Institution Evaluation'!$A$56:$K$345,8,0)&amp;""</f>
        <v/>
      </c>
      <c r="I132" s="45" t="str">
        <f>VLOOKUP($A132,'Institution Evaluation'!$A$56:$K$345,9,0)&amp;""</f>
        <v/>
      </c>
      <c r="J132" s="186" t="str">
        <f>VLOOKUP($A132,'Institution Evaluation'!$A$56:$K$345,10,0)&amp;""</f>
        <v/>
      </c>
      <c r="K132" s="48" t="str">
        <f>IF(VLOOKUP($A132,'Institution Evaluation'!$A$56:$K$345,10,0)=TRUE,'Auto Responses'!$J$3,"")</f>
        <v/>
      </c>
    </row>
    <row r="133" spans="1:11" ht="60" x14ac:dyDescent="0.2">
      <c r="A133" s="19" t="s">
        <v>64</v>
      </c>
      <c r="B133" s="18" t="str">
        <f>VLOOKUP($A133,Questions!$A$2:$X$333,2,0)</f>
        <v>Is the solution designed to process, store, or transmit credit card information?</v>
      </c>
      <c r="C133" s="45" t="str">
        <f>VLOOKUP($A133,'Institution Evaluation'!$A$56:$K$345,3,0)&amp;""</f>
        <v/>
      </c>
      <c r="D133" s="45" t="str">
        <f>VLOOKUP($A133,'Institution Evaluation'!$A$56:$K$345,4,0)&amp;""</f>
        <v/>
      </c>
      <c r="E133" s="330" t="str">
        <f>VLOOKUP($A133,'Institution Evaluation'!$A$56:$K$345,5,0)&amp;""</f>
        <v>Answer yes if your solution handles PCI (credit card) information, either directly or via a third party.</v>
      </c>
      <c r="F133" s="188" t="str">
        <f>VLOOKUP($A133,'Institution Evaluation'!$A$56:$K$345,6,0)&amp;""</f>
        <v/>
      </c>
      <c r="G133" s="30" t="str">
        <f>VLOOKUP($A133,'Institution Evaluation'!$A$56:$K$345,7,0)&amp;""</f>
        <v>Not scored</v>
      </c>
      <c r="H133" s="185" t="str">
        <f>VLOOKUP($A133,'Institution Evaluation'!$A$56:$K$345,8,0)&amp;""</f>
        <v/>
      </c>
      <c r="I133" s="45" t="str">
        <f>VLOOKUP($A133,'Institution Evaluation'!$A$56:$K$345,9,0)&amp;""</f>
        <v/>
      </c>
      <c r="J133" s="186" t="str">
        <f>VLOOKUP($A133,'Institution Evaluation'!$A$56:$K$345,10,0)&amp;""</f>
        <v/>
      </c>
      <c r="K133" s="48" t="str">
        <f>IF(VLOOKUP($A133,'Institution Evaluation'!$A$56:$K$345,10,0)=TRUE,'Auto Responses'!$J$3,"")</f>
        <v/>
      </c>
    </row>
    <row r="134" spans="1:11" ht="60" x14ac:dyDescent="0.2">
      <c r="A134" s="19" t="s">
        <v>968</v>
      </c>
      <c r="B134" s="18" t="str">
        <f>VLOOKUP($A134,Questions!$A$2:$X$333,2,0)</f>
        <v>Does your solution have access to personal or institutional data?</v>
      </c>
      <c r="C134" s="45" t="str">
        <f>VLOOKUP($A134,'Institution Evaluation'!$A$56:$K$345,3,0)&amp;""</f>
        <v/>
      </c>
      <c r="D134" s="45" t="str">
        <f>VLOOKUP($A134,'Institution Evaluation'!$A$56:$K$345,4,0)&amp;""</f>
        <v/>
      </c>
      <c r="E134" s="330" t="str">
        <f>VLOOKUP($A134,'Institution Evaluation'!$A$56:$K$345,5,0)&amp;""</f>
        <v>This includes patient data, student data, employment data, human research data, financial data, etc.</v>
      </c>
      <c r="F134" s="188" t="str">
        <f>VLOOKUP($A134,'Institution Evaluation'!$A$56:$K$345,6,0)&amp;""</f>
        <v/>
      </c>
      <c r="G134" s="30" t="str">
        <f>VLOOKUP($A134,'Institution Evaluation'!$A$56:$K$345,7,0)&amp;""</f>
        <v>Not scored</v>
      </c>
      <c r="H134" s="185" t="str">
        <f>VLOOKUP($A134,'Institution Evaluation'!$A$56:$K$345,8,0)&amp;""</f>
        <v/>
      </c>
      <c r="I134" s="45" t="str">
        <f>VLOOKUP($A134,'Institution Evaluation'!$A$56:$K$345,9,0)&amp;""</f>
        <v/>
      </c>
      <c r="J134" s="186" t="str">
        <f>VLOOKUP($A134,'Institution Evaluation'!$A$56:$K$345,10,0)&amp;""</f>
        <v/>
      </c>
      <c r="K134" s="48" t="str">
        <f>IF(VLOOKUP($A134,'Institution Evaluation'!$A$56:$K$345,10,0)=TRUE,'Auto Responses'!$J$3,"")</f>
        <v/>
      </c>
    </row>
    <row r="135" spans="1:11" s="1" customFormat="1" ht="18" x14ac:dyDescent="0.2">
      <c r="A135" s="63" t="str">
        <f>VLOOKUP(LEFT($A136,4),'Auto Responses'!$N$4:$O$38,2,0)&amp;""</f>
        <v xml:space="preserve"> Documentation</v>
      </c>
      <c r="B135" s="22"/>
      <c r="C135" s="31"/>
      <c r="D135" s="31"/>
      <c r="E135" s="331"/>
      <c r="F135" s="132" t="s">
        <v>1030</v>
      </c>
      <c r="G135" s="335" t="s">
        <v>869</v>
      </c>
      <c r="H135" s="335" t="s">
        <v>871</v>
      </c>
      <c r="I135" s="335" t="s">
        <v>19</v>
      </c>
      <c r="J135" s="335" t="s">
        <v>856</v>
      </c>
      <c r="K135" s="31"/>
    </row>
    <row r="136" spans="1:11" ht="42.75" x14ac:dyDescent="0.2">
      <c r="A136" s="19" t="s">
        <v>70</v>
      </c>
      <c r="B136" s="18" t="str">
        <f>VLOOKUP($A136,Questions!$A$2:$X$333,2,0)</f>
        <v>Do you have a well-documented business continuity plan (BCP), with a clear owner, that is tested annually?*</v>
      </c>
      <c r="C136" s="45" t="str">
        <f>VLOOKUP($A136,'Institution Evaluation'!$A$56:$K$345,3,0)&amp;""</f>
        <v/>
      </c>
      <c r="D136" s="45" t="str">
        <f>VLOOKUP($A136,'Institution Evaluation'!$A$56:$K$345,4,0)&amp;""</f>
        <v/>
      </c>
      <c r="E136" s="330" t="str">
        <f>VLOOKUP($A136,'Institution Evaluation'!$A$56:$K$345,5,0)&amp;""</f>
        <v/>
      </c>
      <c r="F136" s="188" t="str">
        <f>VLOOKUP($A136,'Institution Evaluation'!$A$56:$K$345,6,0)&amp;""</f>
        <v/>
      </c>
      <c r="G136" s="30" t="str">
        <f>VLOOKUP($A136,'Institution Evaluation'!$A$56:$K$345,7,0)&amp;""</f>
        <v>Yes</v>
      </c>
      <c r="H136" s="185" t="str">
        <f>VLOOKUP($A136,'Institution Evaluation'!$A$56:$K$345,8,0)&amp;""</f>
        <v/>
      </c>
      <c r="I136" s="45" t="str">
        <f>VLOOKUP($A136,'Institution Evaluation'!$A$56:$K$345,9,0)&amp;""</f>
        <v>Critical Importance</v>
      </c>
      <c r="J136" s="186" t="str">
        <f>VLOOKUP($A136,'Institution Evaluation'!$A$56:$K$345,10,0)&amp;""</f>
        <v/>
      </c>
      <c r="K136" s="48" t="str">
        <f>IF(VLOOKUP($A136,'Institution Evaluation'!$A$56:$K$345,10,0)=TRUE,'Auto Responses'!$J$3,"")</f>
        <v/>
      </c>
    </row>
    <row r="137" spans="1:11" ht="15" x14ac:dyDescent="0.2">
      <c r="A137" s="19" t="s">
        <v>77</v>
      </c>
      <c r="B137" s="18" t="str">
        <f>VLOOKUP($A137,Questions!$A$2:$X$333,2,0)</f>
        <v>Have you undergone a SSAE 18/SOC 2 audit?</v>
      </c>
      <c r="C137" s="45" t="str">
        <f>VLOOKUP($A137,'Institution Evaluation'!$A$56:$K$345,3,0)&amp;""</f>
        <v/>
      </c>
      <c r="D137" s="45" t="str">
        <f>VLOOKUP($A137,'Institution Evaluation'!$A$56:$K$345,4,0)&amp;""</f>
        <v/>
      </c>
      <c r="E137" s="330" t="str">
        <f>VLOOKUP($A137,'Institution Evaluation'!$A$56:$K$345,5,0)&amp;""</f>
        <v/>
      </c>
      <c r="F137" s="188" t="str">
        <f>VLOOKUP($A137,'Institution Evaluation'!$A$56:$K$345,6,0)&amp;""</f>
        <v/>
      </c>
      <c r="G137" s="30" t="str">
        <f>VLOOKUP($A137,'Institution Evaluation'!$A$56:$K$345,7,0)&amp;""</f>
        <v>Yes</v>
      </c>
      <c r="H137" s="185" t="str">
        <f>VLOOKUP($A137,'Institution Evaluation'!$A$56:$K$345,8,0)&amp;""</f>
        <v/>
      </c>
      <c r="I137" s="45" t="str">
        <f>VLOOKUP($A137,'Institution Evaluation'!$A$56:$K$345,9,0)&amp;""</f>
        <v>Standard Importance</v>
      </c>
      <c r="J137" s="186" t="str">
        <f>VLOOKUP($A137,'Institution Evaluation'!$A$56:$K$345,10,0)&amp;""</f>
        <v/>
      </c>
      <c r="K137" s="48" t="str">
        <f>IF(VLOOKUP($A137,'Institution Evaluation'!$A$56:$K$345,10,0)=TRUE,'Auto Responses'!$J$3,"")</f>
        <v/>
      </c>
    </row>
    <row r="138" spans="1:11" ht="42.75" x14ac:dyDescent="0.2">
      <c r="A138" s="19" t="s">
        <v>80</v>
      </c>
      <c r="B138" s="18" t="str">
        <f>VLOOKUP($A138,Questions!$A$2:$X$333,2,0)</f>
        <v>Do you conform with a specific industry standard security framework (e.g., NIST Cybersecurity Framework, CIS Controls, ISO 27001, etc.)?</v>
      </c>
      <c r="C138" s="45" t="str">
        <f>VLOOKUP($A138,'Institution Evaluation'!$A$56:$K$345,3,0)&amp;""</f>
        <v/>
      </c>
      <c r="D138" s="45" t="str">
        <f>VLOOKUP($A138,'Institution Evaluation'!$A$56:$K$345,4,0)&amp;""</f>
        <v/>
      </c>
      <c r="E138" s="330" t="str">
        <f>VLOOKUP($A138,'Institution Evaluation'!$A$56:$K$345,5,0)&amp;""</f>
        <v/>
      </c>
      <c r="F138" s="188" t="str">
        <f>VLOOKUP($A138,'Institution Evaluation'!$A$56:$K$345,6,0)&amp;""</f>
        <v/>
      </c>
      <c r="G138" s="30" t="str">
        <f>VLOOKUP($A138,'Institution Evaluation'!$A$56:$K$345,7,0)&amp;""</f>
        <v>Yes</v>
      </c>
      <c r="H138" s="185" t="str">
        <f>VLOOKUP($A138,'Institution Evaluation'!$A$56:$K$345,8,0)&amp;""</f>
        <v/>
      </c>
      <c r="I138" s="45" t="str">
        <f>VLOOKUP($A138,'Institution Evaluation'!$A$56:$K$345,9,0)&amp;""</f>
        <v>Standard Importance</v>
      </c>
      <c r="J138" s="186" t="str">
        <f>VLOOKUP($A138,'Institution Evaluation'!$A$56:$K$345,10,0)&amp;""</f>
        <v/>
      </c>
      <c r="K138" s="48" t="str">
        <f>IF(VLOOKUP($A138,'Institution Evaluation'!$A$56:$K$345,10,0)=TRUE,'Auto Responses'!$J$3,"")</f>
        <v/>
      </c>
    </row>
    <row r="139" spans="1:11" ht="42.75" x14ac:dyDescent="0.2">
      <c r="A139" s="19" t="s">
        <v>84</v>
      </c>
      <c r="B139" s="18" t="str">
        <f>VLOOKUP($A139,Questions!$A$2:$X$333,2,0)</f>
        <v>Can you provide overall system and/or application architecture diagrams, including a full description of the data flow for all components of the system?</v>
      </c>
      <c r="C139" s="45" t="str">
        <f>VLOOKUP($A139,'Institution Evaluation'!$A$56:$K$345,3,0)&amp;""</f>
        <v/>
      </c>
      <c r="D139" s="45" t="str">
        <f>VLOOKUP($A139,'Institution Evaluation'!$A$56:$K$345,4,0)&amp;""</f>
        <v/>
      </c>
      <c r="E139" s="330" t="str">
        <f>VLOOKUP($A139,'Institution Evaluation'!$A$56:$K$345,5,0)&amp;""</f>
        <v/>
      </c>
      <c r="F139" s="188" t="str">
        <f>VLOOKUP($A139,'Institution Evaluation'!$A$56:$K$345,6,0)&amp;""</f>
        <v/>
      </c>
      <c r="G139" s="30" t="str">
        <f>VLOOKUP($A139,'Institution Evaluation'!$A$56:$K$345,7,0)&amp;""</f>
        <v>Yes</v>
      </c>
      <c r="H139" s="185" t="str">
        <f>VLOOKUP($A139,'Institution Evaluation'!$A$56:$K$345,8,0)&amp;""</f>
        <v/>
      </c>
      <c r="I139" s="45" t="str">
        <f>VLOOKUP($A139,'Institution Evaluation'!$A$56:$K$345,9,0)&amp;""</f>
        <v>Standard Importance</v>
      </c>
      <c r="J139" s="186" t="str">
        <f>VLOOKUP($A139,'Institution Evaluation'!$A$56:$K$345,10,0)&amp;""</f>
        <v/>
      </c>
      <c r="K139" s="48" t="str">
        <f>IF(VLOOKUP($A139,'Institution Evaluation'!$A$56:$K$345,10,0)=TRUE,'Auto Responses'!$J$3,"")</f>
        <v/>
      </c>
    </row>
    <row r="140" spans="1:11" ht="15" x14ac:dyDescent="0.2">
      <c r="A140" s="19" t="s">
        <v>88</v>
      </c>
      <c r="B140" s="18" t="str">
        <f>VLOOKUP($A140,Questions!$A$2:$X$333,2,0)</f>
        <v>Does your organization have a data privacy policy?</v>
      </c>
      <c r="C140" s="45" t="str">
        <f>VLOOKUP($A140,'Institution Evaluation'!$A$56:$K$345,3,0)&amp;""</f>
        <v/>
      </c>
      <c r="D140" s="45" t="str">
        <f>VLOOKUP($A140,'Institution Evaluation'!$A$56:$K$345,4,0)&amp;""</f>
        <v/>
      </c>
      <c r="E140" s="330" t="str">
        <f>VLOOKUP($A140,'Institution Evaluation'!$A$56:$K$345,5,0)&amp;""</f>
        <v/>
      </c>
      <c r="F140" s="188" t="str">
        <f>VLOOKUP($A140,'Institution Evaluation'!$A$56:$K$345,6,0)&amp;""</f>
        <v/>
      </c>
      <c r="G140" s="30" t="str">
        <f>VLOOKUP($A140,'Institution Evaluation'!$A$56:$K$345,7,0)&amp;""</f>
        <v>Yes</v>
      </c>
      <c r="H140" s="185" t="str">
        <f>VLOOKUP($A140,'Institution Evaluation'!$A$56:$K$345,8,0)&amp;""</f>
        <v/>
      </c>
      <c r="I140" s="45" t="str">
        <f>VLOOKUP($A140,'Institution Evaluation'!$A$56:$K$345,9,0)&amp;""</f>
        <v>Standard Importance</v>
      </c>
      <c r="J140" s="186" t="str">
        <f>VLOOKUP($A140,'Institution Evaluation'!$A$56:$K$345,10,0)&amp;""</f>
        <v/>
      </c>
      <c r="K140" s="48" t="str">
        <f>IF(VLOOKUP($A140,'Institution Evaluation'!$A$56:$K$345,10,0)=TRUE,'Auto Responses'!$J$3,"")</f>
        <v/>
      </c>
    </row>
    <row r="141" spans="1:11" ht="42.75" x14ac:dyDescent="0.2">
      <c r="A141" s="19" t="s">
        <v>92</v>
      </c>
      <c r="B141" s="18" t="str">
        <f>VLOOKUP($A141,Questions!$A$2:$X$333,2,0)</f>
        <v>Do you have a documented, and currently implemented, employee onboarding and offboarding policy?</v>
      </c>
      <c r="C141" s="45" t="str">
        <f>VLOOKUP($A141,'Institution Evaluation'!$A$56:$K$345,3,0)&amp;""</f>
        <v/>
      </c>
      <c r="D141" s="45" t="str">
        <f>VLOOKUP($A141,'Institution Evaluation'!$A$56:$K$345,4,0)&amp;""</f>
        <v/>
      </c>
      <c r="E141" s="330" t="str">
        <f>VLOOKUP($A141,'Institution Evaluation'!$A$56:$K$345,5,0)&amp;""</f>
        <v/>
      </c>
      <c r="F141" s="188" t="str">
        <f>VLOOKUP($A141,'Institution Evaluation'!$A$56:$K$345,6,0)&amp;""</f>
        <v/>
      </c>
      <c r="G141" s="30" t="str">
        <f>VLOOKUP($A141,'Institution Evaluation'!$A$56:$K$345,7,0)&amp;""</f>
        <v>Yes</v>
      </c>
      <c r="H141" s="185" t="str">
        <f>VLOOKUP($A141,'Institution Evaluation'!$A$56:$K$345,8,0)&amp;""</f>
        <v/>
      </c>
      <c r="I141" s="45" t="str">
        <f>VLOOKUP($A141,'Institution Evaluation'!$A$56:$K$345,9,0)&amp;""</f>
        <v>Standard Importance</v>
      </c>
      <c r="J141" s="186" t="str">
        <f>VLOOKUP($A141,'Institution Evaluation'!$A$56:$K$345,10,0)&amp;""</f>
        <v/>
      </c>
      <c r="K141" s="48" t="str">
        <f>IF(VLOOKUP($A141,'Institution Evaluation'!$A$56:$K$345,10,0)=TRUE,'Auto Responses'!$J$3,"")</f>
        <v/>
      </c>
    </row>
    <row r="142" spans="1:11" s="1" customFormat="1" ht="18" x14ac:dyDescent="0.2">
      <c r="A142" s="63" t="str">
        <f>VLOOKUP(LEFT($A143,4),'Auto Responses'!$N$4:$O$38,2,0)&amp;""</f>
        <v xml:space="preserve"> IT Accessibility</v>
      </c>
      <c r="B142" s="22"/>
      <c r="C142" s="31"/>
      <c r="D142" s="31"/>
      <c r="E142" s="331"/>
      <c r="F142" s="132" t="s">
        <v>1030</v>
      </c>
      <c r="G142" s="335" t="s">
        <v>869</v>
      </c>
      <c r="H142" s="335" t="s">
        <v>871</v>
      </c>
      <c r="I142" s="335" t="s">
        <v>19</v>
      </c>
      <c r="J142" s="335" t="s">
        <v>856</v>
      </c>
      <c r="K142" s="31"/>
    </row>
    <row r="143" spans="1:11" ht="30" x14ac:dyDescent="0.2">
      <c r="A143" s="19" t="s">
        <v>97</v>
      </c>
      <c r="B143" s="18" t="str">
        <f>VLOOKUP($A143,Questions!$A$2:$X$333,2,0)</f>
        <v>Web Link to Accessibility Statement or VPAT</v>
      </c>
      <c r="C143" s="45" t="str">
        <f>VLOOKUP($A143,'Institution Evaluation'!$A$56:$K$345,3,0)&amp;""</f>
        <v/>
      </c>
      <c r="D143" s="45" t="str">
        <f>VLOOKUP($A143,'Institution Evaluation'!$A$56:$K$345,4,0)&amp;""</f>
        <v/>
      </c>
      <c r="E143" s="330" t="str">
        <f>VLOOKUP($A143,'Institution Evaluation'!$A$56:$K$345,5,0)&amp;""</f>
        <v>VPAT can also be added as an attachment</v>
      </c>
      <c r="F143" s="188" t="str">
        <f>VLOOKUP($A143,'Institution Evaluation'!$A$56:$K$345,6,0)&amp;""</f>
        <v/>
      </c>
      <c r="G143" s="30" t="str">
        <f>VLOOKUP($A143,'Institution Evaluation'!$A$56:$K$345,7,0)&amp;""</f>
        <v>Not scored</v>
      </c>
      <c r="H143" s="185" t="str">
        <f>VLOOKUP($A143,'Institution Evaluation'!$A$56:$K$345,8,0)&amp;""</f>
        <v/>
      </c>
      <c r="I143" s="45" t="str">
        <f>VLOOKUP($A143,'Institution Evaluation'!$A$56:$K$345,9,0)&amp;""</f>
        <v/>
      </c>
      <c r="J143" s="186" t="str">
        <f>VLOOKUP($A143,'Institution Evaluation'!$A$56:$K$345,10,0)&amp;""</f>
        <v/>
      </c>
      <c r="K143" s="48" t="str">
        <f>IF(VLOOKUP($A143,'Institution Evaluation'!$A$56:$K$345,10,0)=TRUE,'Auto Responses'!$J$3,"")</f>
        <v/>
      </c>
    </row>
    <row r="144" spans="1:11" ht="42.75" x14ac:dyDescent="0.2">
      <c r="A144" s="19" t="s">
        <v>103</v>
      </c>
      <c r="B144" s="18" t="str">
        <f>VLOOKUP($A144,Questions!$A$2:$X$333,2,0)</f>
        <v>Will your company agree to meet your stated accessibility standard or WCAG 2.1 AA as part of your contractual agreement for the solution?*</v>
      </c>
      <c r="C144" s="45" t="str">
        <f>VLOOKUP($A144,'Institution Evaluation'!$A$56:$K$345,3,0)&amp;""</f>
        <v/>
      </c>
      <c r="D144" s="45" t="str">
        <f>VLOOKUP($A144,'Institution Evaluation'!$A$56:$K$345,4,0)&amp;""</f>
        <v/>
      </c>
      <c r="E144" s="330" t="str">
        <f>VLOOKUP($A144,'Institution Evaluation'!$A$56:$K$345,5,0)&amp;""</f>
        <v/>
      </c>
      <c r="F144" s="188" t="str">
        <f>VLOOKUP($A144,'Institution Evaluation'!$A$56:$K$345,6,0)&amp;""</f>
        <v/>
      </c>
      <c r="G144" s="30" t="str">
        <f>VLOOKUP($A144,'Institution Evaluation'!$A$56:$K$345,7,0)&amp;""</f>
        <v>Yes</v>
      </c>
      <c r="H144" s="185" t="str">
        <f>VLOOKUP($A144,'Institution Evaluation'!$A$56:$K$345,8,0)&amp;""</f>
        <v/>
      </c>
      <c r="I144" s="45" t="str">
        <f>VLOOKUP($A144,'Institution Evaluation'!$A$56:$K$345,9,0)&amp;""</f>
        <v>Critical Importance</v>
      </c>
      <c r="J144" s="186" t="str">
        <f>VLOOKUP($A144,'Institution Evaluation'!$A$56:$K$345,10,0)&amp;""</f>
        <v/>
      </c>
      <c r="K144" s="48" t="str">
        <f>IF(VLOOKUP($A144,'Institution Evaluation'!$A$56:$K$345,10,0)=TRUE,'Auto Responses'!$J$3,"")</f>
        <v/>
      </c>
    </row>
    <row r="145" spans="1:11" s="1" customFormat="1" ht="18" x14ac:dyDescent="0.2">
      <c r="A145" s="63" t="str">
        <f>VLOOKUP(LEFT($A146,4),'Auto Responses'!$N$4:$O$38,2,0)&amp;""</f>
        <v xml:space="preserve"> Assessment of Third Parties</v>
      </c>
      <c r="B145" s="22"/>
      <c r="C145" s="31"/>
      <c r="D145" s="31"/>
      <c r="E145" s="331"/>
      <c r="F145" s="132" t="s">
        <v>1030</v>
      </c>
      <c r="G145" s="335" t="s">
        <v>869</v>
      </c>
      <c r="H145" s="335" t="s">
        <v>871</v>
      </c>
      <c r="I145" s="335" t="s">
        <v>19</v>
      </c>
      <c r="J145" s="335" t="s">
        <v>856</v>
      </c>
      <c r="K145" s="31"/>
    </row>
    <row r="146" spans="1:11" ht="42.75" x14ac:dyDescent="0.2">
      <c r="A146" s="19" t="s">
        <v>130</v>
      </c>
      <c r="B146" s="18" t="str">
        <f>VLOOKUP($A146,Questions!$A$2:$X$333,2,0)</f>
        <v>Do you perform security assessments of third-party companies with which you share data (e.g., hosting providers, cloud services, PaaS, IaaS, SaaS)?*</v>
      </c>
      <c r="C146" s="45" t="str">
        <f>VLOOKUP($A146,'Institution Evaluation'!$A$56:$K$345,3,0)&amp;""</f>
        <v/>
      </c>
      <c r="D146" s="45" t="str">
        <f>VLOOKUP($A146,'Institution Evaluation'!$A$56:$K$345,4,0)&amp;""</f>
        <v/>
      </c>
      <c r="E146" s="330" t="str">
        <f>VLOOKUP($A146,'Institution Evaluation'!$A$56:$K$345,5,0)&amp;""</f>
        <v/>
      </c>
      <c r="F146" s="188" t="str">
        <f>VLOOKUP($A146,'Institution Evaluation'!$A$56:$K$345,6,0)&amp;""</f>
        <v/>
      </c>
      <c r="G146" s="30" t="str">
        <f>VLOOKUP($A146,'Institution Evaluation'!$A$56:$K$345,7,0)&amp;""</f>
        <v>Yes</v>
      </c>
      <c r="H146" s="185" t="str">
        <f>VLOOKUP($A146,'Institution Evaluation'!$A$56:$K$345,8,0)&amp;""</f>
        <v/>
      </c>
      <c r="I146" s="45" t="str">
        <f>VLOOKUP($A146,'Institution Evaluation'!$A$56:$K$345,9,0)&amp;""</f>
        <v>Critical Importance</v>
      </c>
      <c r="J146" s="186" t="str">
        <f>VLOOKUP($A146,'Institution Evaluation'!$A$56:$K$345,10,0)&amp;""</f>
        <v/>
      </c>
      <c r="K146" s="48" t="str">
        <f>IF(VLOOKUP($A146,'Institution Evaluation'!$A$56:$K$345,10,0)=TRUE,'Auto Responses'!$J$3,"")</f>
        <v/>
      </c>
    </row>
    <row r="147" spans="1:11" ht="75" x14ac:dyDescent="0.2">
      <c r="A147" s="19" t="s">
        <v>134</v>
      </c>
      <c r="B147" s="18" t="str">
        <f>VLOOKUP($A147,Questions!$A$2:$X$333,2,0)</f>
        <v>Do you have contractual language in place with third parties governing access to institutional data?*</v>
      </c>
      <c r="C147" s="45" t="str">
        <f>VLOOKUP($A147,'Institution Evaluation'!$A$56:$K$345,3,0)&amp;""</f>
        <v/>
      </c>
      <c r="D147" s="45" t="str">
        <f>VLOOKUP($A147,'Institution Evaluation'!$A$56:$K$345,4,0)&amp;""</f>
        <v/>
      </c>
      <c r="E147" s="330" t="str">
        <f>VLOOKUP($A147,'Institution Evaluation'!$A$56:$K$345,5,0)&amp;""</f>
        <v>List each third party and why institutional data is shared with them. Format example: [Third Party Name] - Reason</v>
      </c>
      <c r="F147" s="188" t="str">
        <f>VLOOKUP($A147,'Institution Evaluation'!$A$56:$K$345,6,0)&amp;""</f>
        <v/>
      </c>
      <c r="G147" s="30" t="str">
        <f>VLOOKUP($A147,'Institution Evaluation'!$A$56:$K$345,7,0)&amp;""</f>
        <v>Yes</v>
      </c>
      <c r="H147" s="185" t="str">
        <f>VLOOKUP($A147,'Institution Evaluation'!$A$56:$K$345,8,0)&amp;""</f>
        <v/>
      </c>
      <c r="I147" s="45" t="str">
        <f>VLOOKUP($A147,'Institution Evaluation'!$A$56:$K$345,9,0)&amp;""</f>
        <v>Critical Importance</v>
      </c>
      <c r="J147" s="186" t="str">
        <f>VLOOKUP($A147,'Institution Evaluation'!$A$56:$K$345,10,0)&amp;""</f>
        <v/>
      </c>
      <c r="K147" s="48" t="str">
        <f>IF(VLOOKUP($A147,'Institution Evaluation'!$A$56:$K$345,10,0)=TRUE,'Auto Responses'!$J$3,"")</f>
        <v/>
      </c>
    </row>
    <row r="148" spans="1:11" ht="28.5" x14ac:dyDescent="0.2">
      <c r="A148" s="19" t="s">
        <v>136</v>
      </c>
      <c r="B148" s="18" t="str">
        <f>VLOOKUP($A148,Questions!$A$2:$X$333,2,0)</f>
        <v>Do the contracts in place with these third parties address liability in the event of a data breach?*</v>
      </c>
      <c r="C148" s="45" t="str">
        <f>VLOOKUP($A148,'Institution Evaluation'!$A$56:$K$345,3,0)&amp;""</f>
        <v/>
      </c>
      <c r="D148" s="45" t="str">
        <f>VLOOKUP($A148,'Institution Evaluation'!$A$56:$K$345,4,0)&amp;""</f>
        <v/>
      </c>
      <c r="E148" s="330" t="str">
        <f>VLOOKUP($A148,'Institution Evaluation'!$A$56:$K$345,5,0)&amp;""</f>
        <v/>
      </c>
      <c r="F148" s="188" t="str">
        <f>VLOOKUP($A148,'Institution Evaluation'!$A$56:$K$345,6,0)&amp;""</f>
        <v/>
      </c>
      <c r="G148" s="30" t="str">
        <f>VLOOKUP($A148,'Institution Evaluation'!$A$56:$K$345,7,0)&amp;""</f>
        <v>Yes</v>
      </c>
      <c r="H148" s="185" t="str">
        <f>VLOOKUP($A148,'Institution Evaluation'!$A$56:$K$345,8,0)&amp;""</f>
        <v/>
      </c>
      <c r="I148" s="45" t="str">
        <f>VLOOKUP($A148,'Institution Evaluation'!$A$56:$K$345,9,0)&amp;""</f>
        <v>Critical Importance</v>
      </c>
      <c r="J148" s="186" t="str">
        <f>VLOOKUP($A148,'Institution Evaluation'!$A$56:$K$345,10,0)&amp;""</f>
        <v/>
      </c>
      <c r="K148" s="48" t="str">
        <f>IF(VLOOKUP($A148,'Institution Evaluation'!$A$56:$K$345,10,0)=TRUE,'Auto Responses'!$J$3,"")</f>
        <v/>
      </c>
    </row>
    <row r="149" spans="1:11" ht="75" x14ac:dyDescent="0.2">
      <c r="A149" s="19" t="s">
        <v>137</v>
      </c>
      <c r="B149" s="18" t="str">
        <f>VLOOKUP($A149,Questions!$A$2:$X$333,2,0)</f>
        <v>Do you have an implemented third-party management strategy?*</v>
      </c>
      <c r="C149" s="45" t="str">
        <f>VLOOKUP($A149,'Institution Evaluation'!$A$56:$K$345,3,0)&amp;""</f>
        <v/>
      </c>
      <c r="D149" s="45" t="str">
        <f>VLOOKUP($A149,'Institution Evaluation'!$A$56:$K$345,4,0)&amp;""</f>
        <v/>
      </c>
      <c r="E149" s="330" t="str">
        <f>VLOOKUP($A149,'Institution Evaluation'!$A$56:$K$345,5,0)&amp;""</f>
        <v>Robust answers from the solution provider improve the quality and efficiency of the security assessment process.</v>
      </c>
      <c r="F149" s="188" t="str">
        <f>VLOOKUP($A149,'Institution Evaluation'!$A$56:$K$345,6,0)&amp;""</f>
        <v/>
      </c>
      <c r="G149" s="30" t="str">
        <f>VLOOKUP($A149,'Institution Evaluation'!$A$56:$K$345,7,0)&amp;""</f>
        <v>Yes</v>
      </c>
      <c r="H149" s="185" t="str">
        <f>VLOOKUP($A149,'Institution Evaluation'!$A$56:$K$345,8,0)&amp;""</f>
        <v/>
      </c>
      <c r="I149" s="45" t="str">
        <f>VLOOKUP($A149,'Institution Evaluation'!$A$56:$K$345,9,0)&amp;""</f>
        <v>Critical Importance</v>
      </c>
      <c r="J149" s="186" t="str">
        <f>VLOOKUP($A149,'Institution Evaluation'!$A$56:$K$345,10,0)&amp;""</f>
        <v/>
      </c>
      <c r="K149" s="48" t="str">
        <f>IF(VLOOKUP($A149,'Institution Evaluation'!$A$56:$K$345,10,0)=TRUE,'Auto Responses'!$J$3,"")</f>
        <v/>
      </c>
    </row>
    <row r="150" spans="1:11" s="1" customFormat="1" ht="18" x14ac:dyDescent="0.2">
      <c r="A150" s="63" t="str">
        <f>VLOOKUP(LEFT($A151,4),'Auto Responses'!$N$4:$O$38,2,0)&amp;""</f>
        <v xml:space="preserve"> Consulting Services</v>
      </c>
      <c r="B150" s="22"/>
      <c r="C150" s="31"/>
      <c r="D150" s="31"/>
      <c r="E150" s="331"/>
      <c r="F150" s="132" t="s">
        <v>1030</v>
      </c>
      <c r="G150" s="335" t="s">
        <v>869</v>
      </c>
      <c r="H150" s="335" t="s">
        <v>871</v>
      </c>
      <c r="I150" s="335" t="s">
        <v>19</v>
      </c>
      <c r="J150" s="335" t="s">
        <v>856</v>
      </c>
      <c r="K150" s="31"/>
    </row>
    <row r="151" spans="1:11" ht="28.5" x14ac:dyDescent="0.2">
      <c r="A151" s="19" t="s">
        <v>145</v>
      </c>
      <c r="B151" s="18" t="str">
        <f>VLOOKUP($A151,Questions!$A$2:$X$333,2,0)</f>
        <v>Will the consultant require access to the institution's network resources?*</v>
      </c>
      <c r="C151" s="45" t="str">
        <f>VLOOKUP($A151,'Institution Evaluation'!$A$56:$K$345,3,0)&amp;""</f>
        <v/>
      </c>
      <c r="D151" s="45" t="str">
        <f>VLOOKUP($A151,'Institution Evaluation'!$A$56:$K$345,4,0)&amp;""</f>
        <v/>
      </c>
      <c r="E151" s="330" t="str">
        <f>VLOOKUP($A151,'Institution Evaluation'!$A$56:$K$345,5,0)&amp;""</f>
        <v/>
      </c>
      <c r="F151" s="188" t="str">
        <f>VLOOKUP($A151,'Institution Evaluation'!$A$56:$K$345,6,0)&amp;""</f>
        <v/>
      </c>
      <c r="G151" s="30" t="str">
        <f>VLOOKUP($A151,'Institution Evaluation'!$A$56:$K$345,7,0)&amp;""</f>
        <v>No</v>
      </c>
      <c r="H151" s="185" t="str">
        <f>VLOOKUP($A151,'Institution Evaluation'!$A$56:$K$345,8,0)&amp;""</f>
        <v/>
      </c>
      <c r="I151" s="45" t="str">
        <f>VLOOKUP($A151,'Institution Evaluation'!$A$56:$K$345,9,0)&amp;""</f>
        <v>Critical Importance</v>
      </c>
      <c r="J151" s="186" t="str">
        <f>VLOOKUP($A151,'Institution Evaluation'!$A$56:$K$345,10,0)&amp;""</f>
        <v/>
      </c>
      <c r="K151" s="48" t="str">
        <f>IF(VLOOKUP($A151,'Institution Evaluation'!$A$56:$K$345,10,0)=TRUE,'Auto Responses'!$J$3,"")</f>
        <v/>
      </c>
    </row>
    <row r="152" spans="1:11" ht="28.5" x14ac:dyDescent="0.2">
      <c r="A152" s="19" t="s">
        <v>149</v>
      </c>
      <c r="B152" s="18" t="str">
        <f>VLOOKUP($A152,Questions!$A$2:$X$333,2,0)</f>
        <v>Has the consultant received training on (sensitive, HIPAA, PCI, etc.) data handling?*</v>
      </c>
      <c r="C152" s="45" t="str">
        <f>VLOOKUP($A152,'Institution Evaluation'!$A$56:$K$345,3,0)&amp;""</f>
        <v/>
      </c>
      <c r="D152" s="45" t="str">
        <f>VLOOKUP($A152,'Institution Evaluation'!$A$56:$K$345,4,0)&amp;""</f>
        <v/>
      </c>
      <c r="E152" s="330" t="str">
        <f>VLOOKUP($A152,'Institution Evaluation'!$A$56:$K$345,5,0)&amp;""</f>
        <v/>
      </c>
      <c r="F152" s="188" t="str">
        <f>VLOOKUP($A152,'Institution Evaluation'!$A$56:$K$345,6,0)&amp;""</f>
        <v/>
      </c>
      <c r="G152" s="30" t="str">
        <f>VLOOKUP($A152,'Institution Evaluation'!$A$56:$K$345,7,0)&amp;""</f>
        <v>Yes</v>
      </c>
      <c r="H152" s="185" t="str">
        <f>VLOOKUP($A152,'Institution Evaluation'!$A$56:$K$345,8,0)&amp;""</f>
        <v/>
      </c>
      <c r="I152" s="45" t="str">
        <f>VLOOKUP($A152,'Institution Evaluation'!$A$56:$K$345,9,0)&amp;""</f>
        <v>Critical Importance</v>
      </c>
      <c r="J152" s="186" t="str">
        <f>VLOOKUP($A152,'Institution Evaluation'!$A$56:$K$345,10,0)&amp;""</f>
        <v/>
      </c>
      <c r="K152" s="48" t="str">
        <f>IF(VLOOKUP($A152,'Institution Evaluation'!$A$56:$K$345,10,0)=TRUE,'Auto Responses'!$J$3,"")</f>
        <v/>
      </c>
    </row>
    <row r="153" spans="1:11" ht="28.5" x14ac:dyDescent="0.2">
      <c r="A153" s="19" t="s">
        <v>150</v>
      </c>
      <c r="B153" s="18" t="str">
        <f>VLOOKUP($A153,Questions!$A$2:$X$333,2,0)</f>
        <v>Is the data encrypted (at rest) while in the consultant's possession?*</v>
      </c>
      <c r="C153" s="45" t="str">
        <f>VLOOKUP($A153,'Institution Evaluation'!$A$56:$K$345,3,0)&amp;""</f>
        <v/>
      </c>
      <c r="D153" s="45" t="str">
        <f>VLOOKUP($A153,'Institution Evaluation'!$A$56:$K$345,4,0)&amp;""</f>
        <v/>
      </c>
      <c r="E153" s="330" t="str">
        <f>VLOOKUP($A153,'Institution Evaluation'!$A$56:$K$345,5,0)&amp;""</f>
        <v/>
      </c>
      <c r="F153" s="188" t="str">
        <f>VLOOKUP($A153,'Institution Evaluation'!$A$56:$K$345,6,0)&amp;""</f>
        <v/>
      </c>
      <c r="G153" s="30" t="str">
        <f>VLOOKUP($A153,'Institution Evaluation'!$A$56:$K$345,7,0)&amp;""</f>
        <v>Yes</v>
      </c>
      <c r="H153" s="185" t="str">
        <f>VLOOKUP($A153,'Institution Evaluation'!$A$56:$K$345,8,0)&amp;""</f>
        <v/>
      </c>
      <c r="I153" s="45" t="str">
        <f>VLOOKUP($A153,'Institution Evaluation'!$A$56:$K$345,9,0)&amp;""</f>
        <v>Critical Importance</v>
      </c>
      <c r="J153" s="186" t="str">
        <f>VLOOKUP($A153,'Institution Evaluation'!$A$56:$K$345,10,0)&amp;""</f>
        <v/>
      </c>
      <c r="K153" s="48" t="str">
        <f>IF(VLOOKUP($A153,'Institution Evaluation'!$A$56:$K$345,10,0)=TRUE,'Auto Responses'!$J$3,"")</f>
        <v/>
      </c>
    </row>
    <row r="154" spans="1:11" ht="28.5" x14ac:dyDescent="0.2">
      <c r="A154" s="19" t="s">
        <v>152</v>
      </c>
      <c r="B154" s="18" t="str">
        <f>VLOOKUP($A154,Questions!$A$2:$X$333,2,0)</f>
        <v>Can access be restricted based on source IP address?*</v>
      </c>
      <c r="C154" s="45" t="str">
        <f>VLOOKUP($A154,'Institution Evaluation'!$A$56:$K$345,3,0)&amp;""</f>
        <v/>
      </c>
      <c r="D154" s="45" t="str">
        <f>VLOOKUP($A154,'Institution Evaluation'!$A$56:$K$345,4,0)&amp;""</f>
        <v/>
      </c>
      <c r="E154" s="330" t="str">
        <f>VLOOKUP($A154,'Institution Evaluation'!$A$56:$K$345,5,0)&amp;""</f>
        <v/>
      </c>
      <c r="F154" s="188" t="str">
        <f>VLOOKUP($A154,'Institution Evaluation'!$A$56:$K$345,6,0)&amp;""</f>
        <v/>
      </c>
      <c r="G154" s="30" t="str">
        <f>VLOOKUP($A154,'Institution Evaluation'!$A$56:$K$345,7,0)&amp;""</f>
        <v>Yes</v>
      </c>
      <c r="H154" s="185" t="str">
        <f>VLOOKUP($A154,'Institution Evaluation'!$A$56:$K$345,8,0)&amp;""</f>
        <v/>
      </c>
      <c r="I154" s="45" t="str">
        <f>VLOOKUP($A154,'Institution Evaluation'!$A$56:$K$345,9,0)&amp;""</f>
        <v>Critical Importance</v>
      </c>
      <c r="J154" s="186" t="str">
        <f>VLOOKUP($A154,'Institution Evaluation'!$A$56:$K$345,10,0)&amp;""</f>
        <v/>
      </c>
      <c r="K154" s="48" t="str">
        <f>IF(VLOOKUP($A154,'Institution Evaluation'!$A$56:$K$345,10,0)=TRUE,'Auto Responses'!$J$3,"")</f>
        <v/>
      </c>
    </row>
    <row r="155" spans="1:11" ht="15" x14ac:dyDescent="0.2">
      <c r="A155" s="19" t="s">
        <v>154</v>
      </c>
      <c r="B155" s="18" t="str">
        <f>VLOOKUP($A155,Questions!$A$2:$X$333,2,0)</f>
        <v>Will the consulting take place on-premises?</v>
      </c>
      <c r="C155" s="45" t="str">
        <f>VLOOKUP($A155,'Institution Evaluation'!$A$56:$K$345,3,0)&amp;""</f>
        <v/>
      </c>
      <c r="D155" s="45" t="str">
        <f>VLOOKUP($A155,'Institution Evaluation'!$A$56:$K$345,4,0)&amp;""</f>
        <v/>
      </c>
      <c r="E155" s="330" t="str">
        <f>VLOOKUP($A155,'Institution Evaluation'!$A$56:$K$345,5,0)&amp;""</f>
        <v/>
      </c>
      <c r="F155" s="188" t="str">
        <f>VLOOKUP($A155,'Institution Evaluation'!$A$56:$K$345,6,0)&amp;""</f>
        <v/>
      </c>
      <c r="G155" s="30" t="str">
        <f>VLOOKUP($A155,'Institution Evaluation'!$A$56:$K$345,7,0)&amp;""</f>
        <v>No</v>
      </c>
      <c r="H155" s="185" t="str">
        <f>VLOOKUP($A155,'Institution Evaluation'!$A$56:$K$345,8,0)&amp;""</f>
        <v/>
      </c>
      <c r="I155" s="45" t="str">
        <f>VLOOKUP($A155,'Institution Evaluation'!$A$56:$K$345,9,0)&amp;""</f>
        <v>Standard Importance</v>
      </c>
      <c r="J155" s="186" t="str">
        <f>VLOOKUP($A155,'Institution Evaluation'!$A$56:$K$345,10,0)&amp;""</f>
        <v/>
      </c>
      <c r="K155" s="48" t="str">
        <f>IF(VLOOKUP($A155,'Institution Evaluation'!$A$56:$K$345,10,0)=TRUE,'Auto Responses'!$J$3,"")</f>
        <v/>
      </c>
    </row>
    <row r="156" spans="1:11" ht="28.5" x14ac:dyDescent="0.2">
      <c r="A156" s="19" t="s">
        <v>155</v>
      </c>
      <c r="B156" s="18" t="str">
        <f>VLOOKUP($A156,Questions!$A$2:$X$333,2,0)</f>
        <v>Will the consultant require access to hardware in the institution's data centers?</v>
      </c>
      <c r="C156" s="45" t="str">
        <f>VLOOKUP($A156,'Institution Evaluation'!$A$56:$K$345,3,0)&amp;""</f>
        <v/>
      </c>
      <c r="D156" s="45" t="str">
        <f>VLOOKUP($A156,'Institution Evaluation'!$A$56:$K$345,4,0)&amp;""</f>
        <v/>
      </c>
      <c r="E156" s="330" t="str">
        <f>VLOOKUP($A156,'Institution Evaluation'!$A$56:$K$345,5,0)&amp;""</f>
        <v/>
      </c>
      <c r="F156" s="188" t="str">
        <f>VLOOKUP($A156,'Institution Evaluation'!$A$56:$K$345,6,0)&amp;""</f>
        <v/>
      </c>
      <c r="G156" s="30" t="str">
        <f>VLOOKUP($A156,'Institution Evaluation'!$A$56:$K$345,7,0)&amp;""</f>
        <v>No</v>
      </c>
      <c r="H156" s="185" t="str">
        <f>VLOOKUP($A156,'Institution Evaluation'!$A$56:$K$345,8,0)&amp;""</f>
        <v/>
      </c>
      <c r="I156" s="45" t="str">
        <f>VLOOKUP($A156,'Institution Evaluation'!$A$56:$K$345,9,0)&amp;""</f>
        <v>Standard Importance</v>
      </c>
      <c r="J156" s="186" t="str">
        <f>VLOOKUP($A156,'Institution Evaluation'!$A$56:$K$345,10,0)&amp;""</f>
        <v/>
      </c>
      <c r="K156" s="48" t="str">
        <f>IF(VLOOKUP($A156,'Institution Evaluation'!$A$56:$K$345,10,0)=TRUE,'Auto Responses'!$J$3,"")</f>
        <v/>
      </c>
    </row>
    <row r="157" spans="1:11" ht="28.5" x14ac:dyDescent="0.2">
      <c r="A157" s="19" t="s">
        <v>157</v>
      </c>
      <c r="B157" s="18" t="str">
        <f>VLOOKUP($A157,Questions!$A$2:$X$333,2,0)</f>
        <v>Will the consultant require an account within the institution's domain (@*.edu)?</v>
      </c>
      <c r="C157" s="45" t="str">
        <f>VLOOKUP($A157,'Institution Evaluation'!$A$56:$K$345,3,0)&amp;""</f>
        <v/>
      </c>
      <c r="D157" s="45" t="str">
        <f>VLOOKUP($A157,'Institution Evaluation'!$A$56:$K$345,4,0)&amp;""</f>
        <v/>
      </c>
      <c r="E157" s="330" t="str">
        <f>VLOOKUP($A157,'Institution Evaluation'!$A$56:$K$345,5,0)&amp;""</f>
        <v/>
      </c>
      <c r="F157" s="188" t="str">
        <f>VLOOKUP($A157,'Institution Evaluation'!$A$56:$K$345,6,0)&amp;""</f>
        <v/>
      </c>
      <c r="G157" s="30" t="str">
        <f>VLOOKUP($A157,'Institution Evaluation'!$A$56:$K$345,7,0)&amp;""</f>
        <v>No</v>
      </c>
      <c r="H157" s="185" t="str">
        <f>VLOOKUP($A157,'Institution Evaluation'!$A$56:$K$345,8,0)&amp;""</f>
        <v/>
      </c>
      <c r="I157" s="45" t="str">
        <f>VLOOKUP($A157,'Institution Evaluation'!$A$56:$K$345,9,0)&amp;""</f>
        <v>Standard Importance</v>
      </c>
      <c r="J157" s="186" t="str">
        <f>VLOOKUP($A157,'Institution Evaluation'!$A$56:$K$345,10,0)&amp;""</f>
        <v/>
      </c>
      <c r="K157" s="48" t="str">
        <f>IF(VLOOKUP($A157,'Institution Evaluation'!$A$56:$K$345,10,0)=TRUE,'Auto Responses'!$J$3,"")</f>
        <v/>
      </c>
    </row>
    <row r="158" spans="1:11" ht="28.5" x14ac:dyDescent="0.2">
      <c r="A158" s="19" t="s">
        <v>158</v>
      </c>
      <c r="B158" s="18" t="str">
        <f>VLOOKUP($A158,Questions!$A$2:$X$333,2,0)</f>
        <v>Will any data be transferred to the consultant's possession?</v>
      </c>
      <c r="C158" s="45" t="str">
        <f>VLOOKUP($A158,'Institution Evaluation'!$A$56:$K$345,3,0)&amp;""</f>
        <v/>
      </c>
      <c r="D158" s="45" t="str">
        <f>VLOOKUP($A158,'Institution Evaluation'!$A$56:$K$345,4,0)&amp;""</f>
        <v/>
      </c>
      <c r="E158" s="330" t="str">
        <f>VLOOKUP($A158,'Institution Evaluation'!$A$56:$K$345,5,0)&amp;""</f>
        <v/>
      </c>
      <c r="F158" s="188" t="str">
        <f>VLOOKUP($A158,'Institution Evaluation'!$A$56:$K$345,6,0)&amp;""</f>
        <v/>
      </c>
      <c r="G158" s="30" t="str">
        <f>VLOOKUP($A158,'Institution Evaluation'!$A$56:$K$345,7,0)&amp;""</f>
        <v>No</v>
      </c>
      <c r="H158" s="185" t="str">
        <f>VLOOKUP($A158,'Institution Evaluation'!$A$56:$K$345,8,0)&amp;""</f>
        <v/>
      </c>
      <c r="I158" s="45" t="str">
        <f>VLOOKUP($A158,'Institution Evaluation'!$A$56:$K$345,9,0)&amp;""</f>
        <v>Standard Importance</v>
      </c>
      <c r="J158" s="186" t="str">
        <f>VLOOKUP($A158,'Institution Evaluation'!$A$56:$K$345,10,0)&amp;""</f>
        <v/>
      </c>
      <c r="K158" s="48" t="str">
        <f>IF(VLOOKUP($A158,'Institution Evaluation'!$A$56:$K$345,10,0)=TRUE,'Auto Responses'!$J$3,"")</f>
        <v/>
      </c>
    </row>
    <row r="159" spans="1:11" ht="28.5" x14ac:dyDescent="0.2">
      <c r="A159" s="19" t="s">
        <v>160</v>
      </c>
      <c r="B159" s="18" t="str">
        <f>VLOOKUP($A159,Questions!$A$2:$X$333,2,0)</f>
        <v>Will the consultant need remote access to the institution's network or systems?</v>
      </c>
      <c r="C159" s="45" t="str">
        <f>VLOOKUP($A159,'Institution Evaluation'!$A$56:$K$345,3,0)&amp;""</f>
        <v/>
      </c>
      <c r="D159" s="45" t="str">
        <f>VLOOKUP($A159,'Institution Evaluation'!$A$56:$K$345,4,0)&amp;""</f>
        <v/>
      </c>
      <c r="E159" s="330" t="str">
        <f>VLOOKUP($A159,'Institution Evaluation'!$A$56:$K$345,5,0)&amp;""</f>
        <v/>
      </c>
      <c r="F159" s="188" t="str">
        <f>VLOOKUP($A159,'Institution Evaluation'!$A$56:$K$345,6,0)&amp;""</f>
        <v/>
      </c>
      <c r="G159" s="30" t="str">
        <f>VLOOKUP($A159,'Institution Evaluation'!$A$56:$K$345,7,0)&amp;""</f>
        <v>No</v>
      </c>
      <c r="H159" s="185" t="str">
        <f>VLOOKUP($A159,'Institution Evaluation'!$A$56:$K$345,8,0)&amp;""</f>
        <v/>
      </c>
      <c r="I159" s="45" t="str">
        <f>VLOOKUP($A159,'Institution Evaluation'!$A$56:$K$345,9,0)&amp;""</f>
        <v>Standard Importance</v>
      </c>
      <c r="J159" s="186" t="str">
        <f>VLOOKUP($A159,'Institution Evaluation'!$A$56:$K$345,10,0)&amp;""</f>
        <v/>
      </c>
      <c r="K159" s="48" t="str">
        <f>IF(VLOOKUP($A159,'Institution Evaluation'!$A$56:$K$345,10,0)=TRUE,'Auto Responses'!$J$3,"")</f>
        <v/>
      </c>
    </row>
    <row r="160" spans="1:11" s="1" customFormat="1" ht="18" x14ac:dyDescent="0.2">
      <c r="A160" s="63" t="str">
        <f>VLOOKUP(LEFT($A161,4),'Auto Responses'!$N$4:$O$38,2,0)&amp;""</f>
        <v xml:space="preserve"> Application/Service Security</v>
      </c>
      <c r="B160" s="22"/>
      <c r="C160" s="31"/>
      <c r="D160" s="31"/>
      <c r="E160" s="331"/>
      <c r="F160" s="132" t="s">
        <v>1030</v>
      </c>
      <c r="G160" s="335" t="s">
        <v>869</v>
      </c>
      <c r="H160" s="335" t="s">
        <v>871</v>
      </c>
      <c r="I160" s="335" t="s">
        <v>19</v>
      </c>
      <c r="J160" s="335" t="s">
        <v>856</v>
      </c>
      <c r="K160" s="31"/>
    </row>
    <row r="161" spans="1:11" ht="135" x14ac:dyDescent="0.2">
      <c r="A161" s="19" t="s">
        <v>161</v>
      </c>
      <c r="B161" s="18" t="str">
        <f>VLOOKUP($A161,Questions!$A$2:$X$333,2,0)</f>
        <v>Are access controls for institutional accounts based on structured rules, such as role-based access control (RBAC), attribute-based access control (ABAC), or policy-based access control (PBAC)?*</v>
      </c>
      <c r="C161" s="45" t="str">
        <f>VLOOKUP($A161,'Institution Evaluation'!$A$56:$K$345,3,0)&amp;""</f>
        <v/>
      </c>
      <c r="D161" s="45" t="str">
        <f>VLOOKUP($A161,'Institution Evaluation'!$A$56:$K$345,4,0)&amp;""</f>
        <v/>
      </c>
      <c r="E161" s="330" t="str">
        <f>VLOOKUP($A161,'Institution Evaluation'!$A$56:$K$345,5,0)&amp;""</f>
        <v>This includes end users, administrators, service accounts, etc. PBAC would include various dynamic controls such as conditional access, risk-based access, location-based access, or system activity–based access.</v>
      </c>
      <c r="F161" s="188" t="str">
        <f>VLOOKUP($A161,'Institution Evaluation'!$A$56:$K$345,6,0)&amp;""</f>
        <v/>
      </c>
      <c r="G161" s="30" t="str">
        <f>VLOOKUP($A161,'Institution Evaluation'!$A$56:$K$345,7,0)&amp;""</f>
        <v>Yes</v>
      </c>
      <c r="H161" s="185" t="str">
        <f>VLOOKUP($A161,'Institution Evaluation'!$A$56:$K$345,8,0)&amp;""</f>
        <v/>
      </c>
      <c r="I161" s="45" t="str">
        <f>VLOOKUP($A161,'Institution Evaluation'!$A$56:$K$345,9,0)&amp;""</f>
        <v>Critical Importance</v>
      </c>
      <c r="J161" s="186" t="str">
        <f>VLOOKUP($A161,'Institution Evaluation'!$A$56:$K$345,10,0)&amp;""</f>
        <v/>
      </c>
      <c r="K161" s="48" t="str">
        <f>IF(VLOOKUP($A161,'Institution Evaluation'!$A$56:$K$345,10,0)=TRUE,'Auto Responses'!$J$3,"")</f>
        <v/>
      </c>
    </row>
    <row r="162" spans="1:11" ht="15" x14ac:dyDescent="0.2">
      <c r="A162" s="19" t="s">
        <v>166</v>
      </c>
      <c r="B162" s="18" t="str">
        <f>VLOOKUP($A162,Questions!$A$2:$X$333,2,0)</f>
        <v>Are you using a web application firewall (WAF)?*</v>
      </c>
      <c r="C162" s="45" t="str">
        <f>VLOOKUP($A162,'Institution Evaluation'!$A$56:$K$345,3,0)&amp;""</f>
        <v/>
      </c>
      <c r="D162" s="45" t="str">
        <f>VLOOKUP($A162,'Institution Evaluation'!$A$56:$K$345,4,0)&amp;""</f>
        <v/>
      </c>
      <c r="E162" s="330" t="str">
        <f>VLOOKUP($A162,'Institution Evaluation'!$A$56:$K$345,5,0)&amp;""</f>
        <v/>
      </c>
      <c r="F162" s="188" t="str">
        <f>VLOOKUP($A162,'Institution Evaluation'!$A$56:$K$345,6,0)&amp;""</f>
        <v/>
      </c>
      <c r="G162" s="30" t="str">
        <f>VLOOKUP($A162,'Institution Evaluation'!$A$56:$K$345,7,0)&amp;""</f>
        <v>Yes</v>
      </c>
      <c r="H162" s="185" t="str">
        <f>VLOOKUP($A162,'Institution Evaluation'!$A$56:$K$345,8,0)&amp;""</f>
        <v/>
      </c>
      <c r="I162" s="45" t="str">
        <f>VLOOKUP($A162,'Institution Evaluation'!$A$56:$K$345,9,0)&amp;""</f>
        <v>Critical Importance</v>
      </c>
      <c r="J162" s="186" t="str">
        <f>VLOOKUP($A162,'Institution Evaluation'!$A$56:$K$345,10,0)&amp;""</f>
        <v/>
      </c>
      <c r="K162" s="48" t="str">
        <f>IF(VLOOKUP($A162,'Institution Evaluation'!$A$56:$K$345,10,0)=TRUE,'Auto Responses'!$J$3,"")</f>
        <v/>
      </c>
    </row>
    <row r="163" spans="1:11" ht="150" x14ac:dyDescent="0.2">
      <c r="A163" s="19" t="s">
        <v>191</v>
      </c>
      <c r="B163" s="18" t="str">
        <f>VLOOKUP($A163,Questions!$A$2:$X$333,2,0)</f>
        <v>Are access controls for staff within your organization based on structured rules, such as RBAC, ABAC, or PBAC?</v>
      </c>
      <c r="C163" s="45" t="str">
        <f>VLOOKUP($A163,'Institution Evaluation'!$A$56:$K$345,3,0)&amp;""</f>
        <v/>
      </c>
      <c r="D163" s="45" t="str">
        <f>VLOOKUP($A163,'Institution Evaluation'!$A$56:$K$345,4,0)&amp;""</f>
        <v/>
      </c>
      <c r="E163" s="330" t="str">
        <f>VLOOKUP($A163,'Institution Evaluation'!$A$56:$K$345,5,0)&amp;""</f>
        <v>This includes system administrators and third-party personnel with access to the system. PBAC would include various dynamic controls such as conditional access, risk-based access, location-based access, or system activity–based access.</v>
      </c>
      <c r="F163" s="188" t="str">
        <f>VLOOKUP($A163,'Institution Evaluation'!$A$56:$K$345,6,0)&amp;""</f>
        <v/>
      </c>
      <c r="G163" s="30" t="str">
        <f>VLOOKUP($A163,'Institution Evaluation'!$A$56:$K$345,7,0)&amp;""</f>
        <v>Yes</v>
      </c>
      <c r="H163" s="185" t="str">
        <f>VLOOKUP($A163,'Institution Evaluation'!$A$56:$K$345,8,0)&amp;""</f>
        <v/>
      </c>
      <c r="I163" s="45" t="str">
        <f>VLOOKUP($A163,'Institution Evaluation'!$A$56:$K$345,9,0)&amp;""</f>
        <v>Standard Importance</v>
      </c>
      <c r="J163" s="186" t="str">
        <f>VLOOKUP($A163,'Institution Evaluation'!$A$56:$K$345,10,0)&amp;""</f>
        <v/>
      </c>
      <c r="K163" s="48" t="str">
        <f>IF(VLOOKUP($A163,'Institution Evaluation'!$A$56:$K$345,10,0)=TRUE,'Auto Responses'!$J$3,"")</f>
        <v/>
      </c>
    </row>
    <row r="164" spans="1:11" s="1" customFormat="1" ht="18" x14ac:dyDescent="0.2">
      <c r="A164" s="63" t="str">
        <f>VLOOKUP(LEFT($A165,4),'Auto Responses'!$N$4:$O$38,2,0)&amp;""</f>
        <v xml:space="preserve"> Authentication, Authorization, and Account Management</v>
      </c>
      <c r="B164" s="22"/>
      <c r="C164" s="31"/>
      <c r="D164" s="31"/>
      <c r="E164" s="331"/>
      <c r="F164" s="132" t="s">
        <v>1030</v>
      </c>
      <c r="G164" s="335" t="s">
        <v>869</v>
      </c>
      <c r="H164" s="335" t="s">
        <v>871</v>
      </c>
      <c r="I164" s="335" t="s">
        <v>19</v>
      </c>
      <c r="J164" s="335" t="s">
        <v>856</v>
      </c>
      <c r="K164" s="31"/>
    </row>
    <row r="165" spans="1:11" ht="120" x14ac:dyDescent="0.2">
      <c r="A165" s="19" t="s">
        <v>216</v>
      </c>
      <c r="B165" s="18" t="str">
        <f>VLOOKUP($A165,Questions!$A$2:$X$333,2,0)</f>
        <v>Does your solution support single sign-on (SSO) protocols for user and administrator authentication?*</v>
      </c>
      <c r="C165" s="45" t="str">
        <f>VLOOKUP($A165,'Institution Evaluation'!$A$56:$K$345,3,0)&amp;""</f>
        <v/>
      </c>
      <c r="D165" s="45" t="str">
        <f>VLOOKUP($A165,'Institution Evaluation'!$A$56:$K$345,4,0)&amp;""</f>
        <v/>
      </c>
      <c r="E165" s="330" t="str">
        <f>VLOOKUP($A165,'Institution Evaluation'!$A$56:$K$345,5,0)&amp;""</f>
        <v>Answer "yes" only if user AND administrator authentication is supported. If partially supported, answer "no." Ensure you respond to any guidance in the Additional Information column.</v>
      </c>
      <c r="F165" s="188" t="str">
        <f>VLOOKUP($A165,'Institution Evaluation'!$A$56:$K$345,6,0)&amp;""</f>
        <v/>
      </c>
      <c r="G165" s="30" t="str">
        <f>VLOOKUP($A165,'Institution Evaluation'!$A$56:$K$345,7,0)&amp;""</f>
        <v>Yes</v>
      </c>
      <c r="H165" s="185" t="str">
        <f>VLOOKUP($A165,'Institution Evaluation'!$A$56:$K$345,8,0)&amp;""</f>
        <v/>
      </c>
      <c r="I165" s="45" t="str">
        <f>VLOOKUP($A165,'Institution Evaluation'!$A$56:$K$345,9,0)&amp;""</f>
        <v>Critical Importance</v>
      </c>
      <c r="J165" s="186" t="str">
        <f>VLOOKUP($A165,'Institution Evaluation'!$A$56:$K$345,10,0)&amp;""</f>
        <v/>
      </c>
      <c r="K165" s="48" t="str">
        <f>IF(VLOOKUP($A165,'Institution Evaluation'!$A$56:$K$345,10,0)=TRUE,'Auto Responses'!$J$3,"")</f>
        <v/>
      </c>
    </row>
    <row r="166" spans="1:11" ht="42.75" x14ac:dyDescent="0.2">
      <c r="A166" s="19" t="s">
        <v>221</v>
      </c>
      <c r="B166" s="18" t="str">
        <f>VLOOKUP($A166,Questions!$A$2:$X$333,2,0)</f>
        <v>For customers not using SSO, does your solution support local authentication protocols for user and administrator authentication?*</v>
      </c>
      <c r="C166" s="45" t="str">
        <f>VLOOKUP($A166,'Institution Evaluation'!$A$56:$K$345,3,0)&amp;""</f>
        <v/>
      </c>
      <c r="D166" s="45" t="str">
        <f>VLOOKUP($A166,'Institution Evaluation'!$A$56:$K$345,4,0)&amp;""</f>
        <v/>
      </c>
      <c r="E166" s="330" t="str">
        <f>VLOOKUP($A166,'Institution Evaluation'!$A$56:$K$345,5,0)&amp;""</f>
        <v/>
      </c>
      <c r="F166" s="188" t="str">
        <f>VLOOKUP($A166,'Institution Evaluation'!$A$56:$K$345,6,0)&amp;""</f>
        <v/>
      </c>
      <c r="G166" s="30" t="str">
        <f>VLOOKUP($A166,'Institution Evaluation'!$A$56:$K$345,7,0)&amp;""</f>
        <v>Yes</v>
      </c>
      <c r="H166" s="185" t="str">
        <f>VLOOKUP($A166,'Institution Evaluation'!$A$56:$K$345,8,0)&amp;""</f>
        <v/>
      </c>
      <c r="I166" s="45" t="str">
        <f>VLOOKUP($A166,'Institution Evaluation'!$A$56:$K$345,9,0)&amp;""</f>
        <v>Critical Importance</v>
      </c>
      <c r="J166" s="186" t="str">
        <f>VLOOKUP($A166,'Institution Evaluation'!$A$56:$K$345,10,0)&amp;""</f>
        <v/>
      </c>
      <c r="K166" s="48" t="str">
        <f>IF(VLOOKUP($A166,'Institution Evaluation'!$A$56:$K$345,10,0)=TRUE,'Auto Responses'!$J$3,"")</f>
        <v/>
      </c>
    </row>
    <row r="167" spans="1:11" ht="42.75" x14ac:dyDescent="0.2">
      <c r="A167" s="19" t="s">
        <v>253</v>
      </c>
      <c r="B167" s="18" t="str">
        <f>VLOOKUP($A167,Questions!$A$2:$X$333,2,0)</f>
        <v>For customers not using SSO, does your application support integration with other authentication and authorization systems?</v>
      </c>
      <c r="C167" s="45" t="str">
        <f>VLOOKUP($A167,'Institution Evaluation'!$A$56:$K$345,3,0)&amp;""</f>
        <v/>
      </c>
      <c r="D167" s="45" t="str">
        <f>VLOOKUP($A167,'Institution Evaluation'!$A$56:$K$345,4,0)&amp;""</f>
        <v/>
      </c>
      <c r="E167" s="330" t="str">
        <f>VLOOKUP($A167,'Institution Evaluation'!$A$56:$K$345,5,0)&amp;""</f>
        <v/>
      </c>
      <c r="F167" s="188" t="str">
        <f>VLOOKUP($A167,'Institution Evaluation'!$A$56:$K$345,6,0)&amp;""</f>
        <v/>
      </c>
      <c r="G167" s="30" t="str">
        <f>VLOOKUP($A167,'Institution Evaluation'!$A$56:$K$345,7,0)&amp;""</f>
        <v>Yes</v>
      </c>
      <c r="H167" s="185" t="str">
        <f>VLOOKUP($A167,'Institution Evaluation'!$A$56:$K$345,8,0)&amp;""</f>
        <v/>
      </c>
      <c r="I167" s="45" t="str">
        <f>VLOOKUP($A167,'Institution Evaluation'!$A$56:$K$345,9,0)&amp;""</f>
        <v>Standard Importance</v>
      </c>
      <c r="J167" s="186" t="str">
        <f>VLOOKUP($A167,'Institution Evaluation'!$A$56:$K$345,10,0)&amp;""</f>
        <v/>
      </c>
      <c r="K167" s="48" t="str">
        <f>IF(VLOOKUP($A167,'Institution Evaluation'!$A$56:$K$345,10,0)=TRUE,'Auto Responses'!$J$3,"")</f>
        <v/>
      </c>
    </row>
    <row r="168" spans="1:11" ht="57" x14ac:dyDescent="0.2">
      <c r="A168" s="19" t="s">
        <v>255</v>
      </c>
      <c r="B168" s="18" t="str">
        <f>VLOOKUP($A168,Questions!$A$2:$X$333,2,0)</f>
        <v>Do you allow the customer to specify attribute mappings for any needed information beyond a user identifier? (e.g., Reference eduPerson, ePPA/ePPN/ePE)</v>
      </c>
      <c r="C168" s="45" t="str">
        <f>VLOOKUP($A168,'Institution Evaluation'!$A$56:$K$345,3,0)&amp;""</f>
        <v/>
      </c>
      <c r="D168" s="45" t="str">
        <f>VLOOKUP($A168,'Institution Evaluation'!$A$56:$K$345,4,0)&amp;""</f>
        <v/>
      </c>
      <c r="E168" s="330" t="str">
        <f>VLOOKUP($A168,'Institution Evaluation'!$A$56:$K$345,5,0)&amp;""</f>
        <v/>
      </c>
      <c r="F168" s="188" t="str">
        <f>VLOOKUP($A168,'Institution Evaluation'!$A$56:$K$345,6,0)&amp;""</f>
        <v/>
      </c>
      <c r="G168" s="30" t="str">
        <f>VLOOKUP($A168,'Institution Evaluation'!$A$56:$K$345,7,0)&amp;""</f>
        <v>Yes</v>
      </c>
      <c r="H168" s="185" t="str">
        <f>VLOOKUP($A168,'Institution Evaluation'!$A$56:$K$345,8,0)&amp;""</f>
        <v/>
      </c>
      <c r="I168" s="45" t="str">
        <f>VLOOKUP($A168,'Institution Evaluation'!$A$56:$K$345,9,0)&amp;""</f>
        <v>Standard Importance</v>
      </c>
      <c r="J168" s="186" t="str">
        <f>VLOOKUP($A168,'Institution Evaluation'!$A$56:$K$345,10,0)&amp;""</f>
        <v/>
      </c>
      <c r="K168" s="48" t="str">
        <f>IF(VLOOKUP($A168,'Institution Evaluation'!$A$56:$K$345,10,0)=TRUE,'Auto Responses'!$J$3,"")</f>
        <v/>
      </c>
    </row>
    <row r="169" spans="1:11" ht="57" x14ac:dyDescent="0.2">
      <c r="A169" s="19" t="s">
        <v>268</v>
      </c>
      <c r="B169" s="18" t="str">
        <f>VLOOKUP($A169,Questions!$A$2:$X$333,2,0)</f>
        <v>For customers not using SSO, does your application and/or user frontend/portal support multifactor authentication (e.g., Duo, Google Authenticator, OTP, etc.)?</v>
      </c>
      <c r="C169" s="45" t="str">
        <f>VLOOKUP($A169,'Institution Evaluation'!$A$56:$K$345,3,0)&amp;""</f>
        <v/>
      </c>
      <c r="D169" s="45" t="str">
        <f>VLOOKUP($A169,'Institution Evaluation'!$A$56:$K$345,4,0)&amp;""</f>
        <v/>
      </c>
      <c r="E169" s="330" t="str">
        <f>VLOOKUP($A169,'Institution Evaluation'!$A$56:$K$345,5,0)&amp;""</f>
        <v/>
      </c>
      <c r="F169" s="188" t="str">
        <f>VLOOKUP($A169,'Institution Evaluation'!$A$56:$K$345,6,0)&amp;""</f>
        <v/>
      </c>
      <c r="G169" s="30" t="str">
        <f>VLOOKUP($A169,'Institution Evaluation'!$A$56:$K$345,7,0)&amp;""</f>
        <v>Yes</v>
      </c>
      <c r="H169" s="185" t="str">
        <f>VLOOKUP($A169,'Institution Evaluation'!$A$56:$K$345,8,0)&amp;""</f>
        <v/>
      </c>
      <c r="I169" s="45" t="str">
        <f>VLOOKUP($A169,'Institution Evaluation'!$A$56:$K$345,9,0)&amp;""</f>
        <v>Minor Importance</v>
      </c>
      <c r="J169" s="186" t="str">
        <f>VLOOKUP($A169,'Institution Evaluation'!$A$56:$K$345,10,0)&amp;""</f>
        <v/>
      </c>
      <c r="K169" s="48" t="str">
        <f>IF(VLOOKUP($A169,'Institution Evaluation'!$A$56:$K$345,10,0)=TRUE,'Auto Responses'!$J$3,"")</f>
        <v/>
      </c>
    </row>
    <row r="170" spans="1:11" s="1" customFormat="1" ht="18" x14ac:dyDescent="0.2">
      <c r="A170" s="63" t="str">
        <f>VLOOKUP(LEFT($A171,4),'Auto Responses'!$N$4:$O$38,2,0)&amp;""</f>
        <v xml:space="preserve"> Change Management</v>
      </c>
      <c r="B170" s="22"/>
      <c r="C170" s="31"/>
      <c r="D170" s="31"/>
      <c r="E170" s="331"/>
      <c r="F170" s="132" t="s">
        <v>1030</v>
      </c>
      <c r="G170" s="335" t="s">
        <v>869</v>
      </c>
      <c r="H170" s="335" t="s">
        <v>871</v>
      </c>
      <c r="I170" s="335" t="s">
        <v>19</v>
      </c>
      <c r="J170" s="335" t="s">
        <v>856</v>
      </c>
      <c r="K170" s="31"/>
    </row>
    <row r="171" spans="1:11" ht="42.75" x14ac:dyDescent="0.2">
      <c r="A171" s="19" t="s">
        <v>274</v>
      </c>
      <c r="B171" s="18" t="str">
        <f>VLOOKUP($A171,Questions!$A$2:$X$333,2,0)</f>
        <v>Will the institution be notified of major changes to your environment that could impact the institution's security posture?*</v>
      </c>
      <c r="C171" s="45" t="str">
        <f>VLOOKUP($A171,'Institution Evaluation'!$A$56:$K$345,3,0)&amp;""</f>
        <v/>
      </c>
      <c r="D171" s="45" t="str">
        <f>VLOOKUP($A171,'Institution Evaluation'!$A$56:$K$345,4,0)&amp;""</f>
        <v/>
      </c>
      <c r="E171" s="330" t="str">
        <f>VLOOKUP($A171,'Institution Evaluation'!$A$56:$K$345,5,0)&amp;""</f>
        <v/>
      </c>
      <c r="F171" s="188" t="str">
        <f>VLOOKUP($A171,'Institution Evaluation'!$A$56:$K$345,6,0)&amp;""</f>
        <v/>
      </c>
      <c r="G171" s="30" t="str">
        <f>VLOOKUP($A171,'Institution Evaluation'!$A$56:$K$345,7,0)&amp;""</f>
        <v>Yes</v>
      </c>
      <c r="H171" s="185" t="str">
        <f>VLOOKUP($A171,'Institution Evaluation'!$A$56:$K$345,8,0)&amp;""</f>
        <v/>
      </c>
      <c r="I171" s="45" t="str">
        <f>VLOOKUP($A171,'Institution Evaluation'!$A$56:$K$345,9,0)&amp;""</f>
        <v>Critical Importance</v>
      </c>
      <c r="J171" s="186" t="str">
        <f>VLOOKUP($A171,'Institution Evaluation'!$A$56:$K$345,10,0)&amp;""</f>
        <v/>
      </c>
      <c r="K171" s="48" t="str">
        <f>IF(VLOOKUP($A171,'Institution Evaluation'!$A$56:$K$345,10,0)=TRUE,'Auto Responses'!$J$3,"")</f>
        <v/>
      </c>
    </row>
    <row r="172" spans="1:11" ht="60" x14ac:dyDescent="0.2">
      <c r="A172" s="19" t="s">
        <v>279</v>
      </c>
      <c r="B172" s="18" t="str">
        <f>VLOOKUP($A172,Questions!$A$2:$X$333,2,0)</f>
        <v>Does the system support client customizations from one release to another?*</v>
      </c>
      <c r="C172" s="45" t="str">
        <f>VLOOKUP($A172,'Institution Evaluation'!$A$56:$K$345,3,0)&amp;""</f>
        <v/>
      </c>
      <c r="D172" s="45" t="str">
        <f>VLOOKUP($A172,'Institution Evaluation'!$A$56:$K$345,4,0)&amp;""</f>
        <v/>
      </c>
      <c r="E172" s="330" t="str">
        <f>VLOOKUP($A172,'Institution Evaluation'!$A$56:$K$345,5,0)&amp;""</f>
        <v>Ensure that all relevant details pertaining to CHNG-06 are clearly stated in your response.</v>
      </c>
      <c r="F172" s="188" t="str">
        <f>VLOOKUP($A172,'Institution Evaluation'!$A$56:$K$345,6,0)&amp;""</f>
        <v/>
      </c>
      <c r="G172" s="30" t="str">
        <f>VLOOKUP($A172,'Institution Evaluation'!$A$56:$K$345,7,0)&amp;""</f>
        <v>Yes</v>
      </c>
      <c r="H172" s="185" t="str">
        <f>VLOOKUP($A172,'Institution Evaluation'!$A$56:$K$345,8,0)&amp;""</f>
        <v/>
      </c>
      <c r="I172" s="45" t="str">
        <f>VLOOKUP($A172,'Institution Evaluation'!$A$56:$K$345,9,0)&amp;""</f>
        <v>Critical Importance</v>
      </c>
      <c r="J172" s="186" t="str">
        <f>VLOOKUP($A172,'Institution Evaluation'!$A$56:$K$345,10,0)&amp;""</f>
        <v/>
      </c>
      <c r="K172" s="48" t="str">
        <f>IF(VLOOKUP($A172,'Institution Evaluation'!$A$56:$K$345,10,0)=TRUE,'Auto Responses'!$J$3,"")</f>
        <v/>
      </c>
    </row>
    <row r="173" spans="1:11" s="1" customFormat="1" ht="18" x14ac:dyDescent="0.2">
      <c r="A173" s="63" t="str">
        <f>VLOOKUP(LEFT($A174,4),'Auto Responses'!$N$4:$O$38,2,0)&amp;""</f>
        <v xml:space="preserve"> Data</v>
      </c>
      <c r="B173" s="22"/>
      <c r="C173" s="31"/>
      <c r="D173" s="31"/>
      <c r="E173" s="331"/>
      <c r="F173" s="132" t="s">
        <v>1030</v>
      </c>
      <c r="G173" s="335" t="s">
        <v>869</v>
      </c>
      <c r="H173" s="335" t="s">
        <v>871</v>
      </c>
      <c r="I173" s="335" t="s">
        <v>19</v>
      </c>
      <c r="J173" s="335" t="s">
        <v>856</v>
      </c>
      <c r="K173" s="31"/>
    </row>
    <row r="174" spans="1:11" ht="42.75" x14ac:dyDescent="0.2">
      <c r="A174" s="19" t="s">
        <v>332</v>
      </c>
      <c r="B174" s="18" t="str">
        <f>VLOOKUP($A174,Questions!$A$2:$X$333,2,0)</f>
        <v>Is the storage of sensitive data encrypted using security protocols/algorithms (e.g., disk encryption, at-rest, files, and within a running database)?*</v>
      </c>
      <c r="C174" s="45" t="str">
        <f>VLOOKUP($A174,'Institution Evaluation'!$A$56:$K$345,3,0)&amp;""</f>
        <v/>
      </c>
      <c r="D174" s="45" t="str">
        <f>VLOOKUP($A174,'Institution Evaluation'!$A$56:$K$345,4,0)&amp;""</f>
        <v/>
      </c>
      <c r="E174" s="330" t="str">
        <f>VLOOKUP($A174,'Institution Evaluation'!$A$56:$K$345,5,0)&amp;""</f>
        <v/>
      </c>
      <c r="F174" s="188" t="str">
        <f>VLOOKUP($A174,'Institution Evaluation'!$A$56:$K$345,6,0)&amp;""</f>
        <v/>
      </c>
      <c r="G174" s="30" t="str">
        <f>VLOOKUP($A174,'Institution Evaluation'!$A$56:$K$345,7,0)&amp;""</f>
        <v>Yes</v>
      </c>
      <c r="H174" s="185" t="str">
        <f>VLOOKUP($A174,'Institution Evaluation'!$A$56:$K$345,8,0)&amp;""</f>
        <v/>
      </c>
      <c r="I174" s="45" t="str">
        <f>VLOOKUP($A174,'Institution Evaluation'!$A$56:$K$345,9,0)&amp;""</f>
        <v>Critical Importance</v>
      </c>
      <c r="J174" s="186" t="str">
        <f>VLOOKUP($A174,'Institution Evaluation'!$A$56:$K$345,10,0)&amp;""</f>
        <v/>
      </c>
      <c r="K174" s="48" t="str">
        <f>IF(VLOOKUP($A174,'Institution Evaluation'!$A$56:$K$345,10,0)=TRUE,'Auto Responses'!$J$3,"")</f>
        <v/>
      </c>
    </row>
    <row r="175" spans="1:11" ht="42.75" x14ac:dyDescent="0.2">
      <c r="A175" s="19" t="s">
        <v>336</v>
      </c>
      <c r="B175" s="18" t="str">
        <f>VLOOKUP($A175,Questions!$A$2:$X$333,2,0)</f>
        <v>Do all cryptographic modules in use in your solution conform to the Federal Information Processing Standards (FIPS PUB 140-2 or 140-3)?*</v>
      </c>
      <c r="C175" s="45" t="str">
        <f>VLOOKUP($A175,'Institution Evaluation'!$A$56:$K$345,3,0)&amp;""</f>
        <v/>
      </c>
      <c r="D175" s="45" t="str">
        <f>VLOOKUP($A175,'Institution Evaluation'!$A$56:$K$345,4,0)&amp;""</f>
        <v/>
      </c>
      <c r="E175" s="330" t="str">
        <f>VLOOKUP($A175,'Institution Evaluation'!$A$56:$K$345,5,0)&amp;""</f>
        <v/>
      </c>
      <c r="F175" s="188" t="str">
        <f>VLOOKUP($A175,'Institution Evaluation'!$A$56:$K$345,6,0)&amp;""</f>
        <v/>
      </c>
      <c r="G175" s="30" t="str">
        <f>VLOOKUP($A175,'Institution Evaluation'!$A$56:$K$345,7,0)&amp;""</f>
        <v>Yes</v>
      </c>
      <c r="H175" s="185" t="str">
        <f>VLOOKUP($A175,'Institution Evaluation'!$A$56:$K$345,8,0)&amp;""</f>
        <v/>
      </c>
      <c r="I175" s="45" t="str">
        <f>VLOOKUP($A175,'Institution Evaluation'!$A$56:$K$345,9,0)&amp;""</f>
        <v>Critical Importance</v>
      </c>
      <c r="J175" s="186" t="str">
        <f>VLOOKUP($A175,'Institution Evaluation'!$A$56:$K$345,10,0)&amp;""</f>
        <v/>
      </c>
      <c r="K175" s="48" t="str">
        <f>IF(VLOOKUP($A175,'Institution Evaluation'!$A$56:$K$345,10,0)=TRUE,'Auto Responses'!$J$3,"")</f>
        <v/>
      </c>
    </row>
    <row r="176" spans="1:11" ht="42.75" x14ac:dyDescent="0.2">
      <c r="A176" s="19" t="s">
        <v>344</v>
      </c>
      <c r="B176" s="18" t="str">
        <f>VLOOKUP($A176,Questions!$A$2:$X$333,2,0)</f>
        <v>Are ownership rights to all data, inputs, outputs, and metadata retained even through a provider acquisition or bankruptcy event?*</v>
      </c>
      <c r="C176" s="45" t="str">
        <f>VLOOKUP($A176,'Institution Evaluation'!$A$56:$K$345,3,0)&amp;""</f>
        <v/>
      </c>
      <c r="D176" s="45" t="str">
        <f>VLOOKUP($A176,'Institution Evaluation'!$A$56:$K$345,4,0)&amp;""</f>
        <v/>
      </c>
      <c r="E176" s="330" t="str">
        <f>VLOOKUP($A176,'Institution Evaluation'!$A$56:$K$345,5,0)&amp;""</f>
        <v/>
      </c>
      <c r="F176" s="188" t="str">
        <f>VLOOKUP($A176,'Institution Evaluation'!$A$56:$K$345,6,0)&amp;""</f>
        <v/>
      </c>
      <c r="G176" s="30" t="str">
        <f>VLOOKUP($A176,'Institution Evaluation'!$A$56:$K$345,7,0)&amp;""</f>
        <v>Yes</v>
      </c>
      <c r="H176" s="185" t="str">
        <f>VLOOKUP($A176,'Institution Evaluation'!$A$56:$K$345,8,0)&amp;""</f>
        <v/>
      </c>
      <c r="I176" s="45" t="str">
        <f>VLOOKUP($A176,'Institution Evaluation'!$A$56:$K$345,9,0)&amp;""</f>
        <v>Critical Importance</v>
      </c>
      <c r="J176" s="186" t="str">
        <f>VLOOKUP($A176,'Institution Evaluation'!$A$56:$K$345,10,0)&amp;""</f>
        <v/>
      </c>
      <c r="K176" s="48" t="str">
        <f>IF(VLOOKUP($A176,'Institution Evaluation'!$A$56:$K$345,10,0)=TRUE,'Auto Responses'!$J$3,"")</f>
        <v/>
      </c>
    </row>
    <row r="177" spans="1:11" ht="42.75" x14ac:dyDescent="0.2">
      <c r="A177" s="19" t="s">
        <v>346</v>
      </c>
      <c r="B177" s="18" t="str">
        <f>VLOOKUP($A177,Questions!$A$2:$X$333,2,0)</f>
        <v>Do backups containing the institution's data ever leave the institution's data zone either physically or via network routing?*</v>
      </c>
      <c r="C177" s="45" t="str">
        <f>VLOOKUP($A177,'Institution Evaluation'!$A$56:$K$345,3,0)&amp;""</f>
        <v/>
      </c>
      <c r="D177" s="45" t="str">
        <f>VLOOKUP($A177,'Institution Evaluation'!$A$56:$K$345,4,0)&amp;""</f>
        <v/>
      </c>
      <c r="E177" s="330" t="str">
        <f>VLOOKUP($A177,'Institution Evaluation'!$A$56:$K$345,5,0)&amp;""</f>
        <v/>
      </c>
      <c r="F177" s="188" t="str">
        <f>VLOOKUP($A177,'Institution Evaluation'!$A$56:$K$345,6,0)&amp;""</f>
        <v/>
      </c>
      <c r="G177" s="30" t="str">
        <f>VLOOKUP($A177,'Institution Evaluation'!$A$56:$K$345,7,0)&amp;""</f>
        <v>No</v>
      </c>
      <c r="H177" s="185" t="str">
        <f>VLOOKUP($A177,'Institution Evaluation'!$A$56:$K$345,8,0)&amp;""</f>
        <v/>
      </c>
      <c r="I177" s="45" t="str">
        <f>VLOOKUP($A177,'Institution Evaluation'!$A$56:$K$345,9,0)&amp;""</f>
        <v>Critical Importance</v>
      </c>
      <c r="J177" s="186" t="str">
        <f>VLOOKUP($A177,'Institution Evaluation'!$A$56:$K$345,10,0)&amp;""</f>
        <v/>
      </c>
      <c r="K177" s="48" t="str">
        <f>IF(VLOOKUP($A177,'Institution Evaluation'!$A$56:$K$345,10,0)=TRUE,'Auto Responses'!$J$3,"")</f>
        <v/>
      </c>
    </row>
    <row r="178" spans="1:11" ht="42.75" x14ac:dyDescent="0.2">
      <c r="A178" s="19" t="s">
        <v>348</v>
      </c>
      <c r="B178" s="18" t="str">
        <f>VLOOKUP($A178,Questions!$A$2:$X$333,2,0)</f>
        <v>Is media used for long-term retention of business data and archival purposes stored in a secure, environmentally protected area?*</v>
      </c>
      <c r="C178" s="45" t="str">
        <f>VLOOKUP($A178,'Institution Evaluation'!$A$56:$K$345,3,0)&amp;""</f>
        <v/>
      </c>
      <c r="D178" s="45" t="str">
        <f>VLOOKUP($A178,'Institution Evaluation'!$A$56:$K$345,4,0)&amp;""</f>
        <v/>
      </c>
      <c r="E178" s="330" t="str">
        <f>VLOOKUP($A178,'Institution Evaluation'!$A$56:$K$345,5,0)&amp;""</f>
        <v/>
      </c>
      <c r="F178" s="188" t="str">
        <f>VLOOKUP($A178,'Institution Evaluation'!$A$56:$K$345,6,0)&amp;""</f>
        <v/>
      </c>
      <c r="G178" s="30" t="str">
        <f>VLOOKUP($A178,'Institution Evaluation'!$A$56:$K$345,7,0)&amp;""</f>
        <v>Yes</v>
      </c>
      <c r="H178" s="185" t="str">
        <f>VLOOKUP($A178,'Institution Evaluation'!$A$56:$K$345,8,0)&amp;""</f>
        <v/>
      </c>
      <c r="I178" s="45" t="str">
        <f>VLOOKUP($A178,'Institution Evaluation'!$A$56:$K$345,9,0)&amp;""</f>
        <v>Critical Importance</v>
      </c>
      <c r="J178" s="186" t="str">
        <f>VLOOKUP($A178,'Institution Evaluation'!$A$56:$K$345,10,0)&amp;""</f>
        <v/>
      </c>
      <c r="K178" s="48" t="str">
        <f>IF(VLOOKUP($A178,'Institution Evaluation'!$A$56:$K$345,10,0)=TRUE,'Auto Responses'!$J$3,"")</f>
        <v/>
      </c>
    </row>
    <row r="179" spans="1:11" ht="42.75" x14ac:dyDescent="0.2">
      <c r="A179" s="19" t="s">
        <v>352</v>
      </c>
      <c r="B179" s="18" t="str">
        <f>VLOOKUP($A179,Questions!$A$2:$X$333,2,0)</f>
        <v>At the completion of this contract, will data be returned to the institution and/or deleted from all your systems and archives?</v>
      </c>
      <c r="C179" s="45" t="str">
        <f>VLOOKUP($A179,'Institution Evaluation'!$A$56:$K$345,3,0)&amp;""</f>
        <v/>
      </c>
      <c r="D179" s="45" t="str">
        <f>VLOOKUP($A179,'Institution Evaluation'!$A$56:$K$345,4,0)&amp;""</f>
        <v/>
      </c>
      <c r="E179" s="330" t="str">
        <f>VLOOKUP($A179,'Institution Evaluation'!$A$56:$K$345,5,0)&amp;""</f>
        <v xml:space="preserve">Please specify if it will be returned, deleted, or both. </v>
      </c>
      <c r="F179" s="188" t="str">
        <f>VLOOKUP($A179,'Institution Evaluation'!$A$56:$K$345,6,0)&amp;""</f>
        <v/>
      </c>
      <c r="G179" s="30" t="str">
        <f>VLOOKUP($A179,'Institution Evaluation'!$A$56:$K$345,7,0)&amp;""</f>
        <v>Yes</v>
      </c>
      <c r="H179" s="185" t="str">
        <f>VLOOKUP($A179,'Institution Evaluation'!$A$56:$K$345,8,0)&amp;""</f>
        <v/>
      </c>
      <c r="I179" s="45" t="str">
        <f>VLOOKUP($A179,'Institution Evaluation'!$A$56:$K$345,9,0)&amp;""</f>
        <v>Standard Importance</v>
      </c>
      <c r="J179" s="186" t="str">
        <f>VLOOKUP($A179,'Institution Evaluation'!$A$56:$K$345,10,0)&amp;""</f>
        <v/>
      </c>
      <c r="K179" s="48" t="str">
        <f>IF(VLOOKUP($A179,'Institution Evaluation'!$A$56:$K$345,10,0)=TRUE,'Auto Responses'!$J$3,"")</f>
        <v/>
      </c>
    </row>
    <row r="180" spans="1:11" ht="28.5" x14ac:dyDescent="0.2">
      <c r="A180" s="19" t="s">
        <v>355</v>
      </c>
      <c r="B180" s="18" t="str">
        <f>VLOOKUP($A180,Questions!$A$2:$X$333,2,0)</f>
        <v>Can the institution extract a full or partial backup of data?</v>
      </c>
      <c r="C180" s="45" t="str">
        <f>VLOOKUP($A180,'Institution Evaluation'!$A$56:$K$345,3,0)&amp;""</f>
        <v/>
      </c>
      <c r="D180" s="45" t="str">
        <f>VLOOKUP($A180,'Institution Evaluation'!$A$56:$K$345,4,0)&amp;""</f>
        <v/>
      </c>
      <c r="E180" s="330" t="str">
        <f>VLOOKUP($A180,'Institution Evaluation'!$A$56:$K$345,5,0)&amp;""</f>
        <v/>
      </c>
      <c r="F180" s="188" t="str">
        <f>VLOOKUP($A180,'Institution Evaluation'!$A$56:$K$345,6,0)&amp;""</f>
        <v/>
      </c>
      <c r="G180" s="30" t="str">
        <f>VLOOKUP($A180,'Institution Evaluation'!$A$56:$K$345,7,0)&amp;""</f>
        <v>Yes</v>
      </c>
      <c r="H180" s="185" t="str">
        <f>VLOOKUP($A180,'Institution Evaluation'!$A$56:$K$345,8,0)&amp;""</f>
        <v/>
      </c>
      <c r="I180" s="45" t="str">
        <f>VLOOKUP($A180,'Institution Evaluation'!$A$56:$K$345,9,0)&amp;""</f>
        <v>Standard Importance</v>
      </c>
      <c r="J180" s="186" t="str">
        <f>VLOOKUP($A180,'Institution Evaluation'!$A$56:$K$345,10,0)&amp;""</f>
        <v/>
      </c>
      <c r="K180" s="48" t="str">
        <f>IF(VLOOKUP($A180,'Institution Evaluation'!$A$56:$K$345,10,0)=TRUE,'Auto Responses'!$J$3,"")</f>
        <v/>
      </c>
    </row>
    <row r="181" spans="1:11" ht="42.75" x14ac:dyDescent="0.2">
      <c r="A181" s="19" t="s">
        <v>359</v>
      </c>
      <c r="B181" s="18" t="str">
        <f>VLOOKUP($A181,Questions!$A$2:$X$333,2,0)</f>
        <v>Do current backups include all operating system software, utilities, security software, application software, and data files necessary for recovery?</v>
      </c>
      <c r="C181" s="45" t="str">
        <f>VLOOKUP($A181,'Institution Evaluation'!$A$56:$K$345,3,0)&amp;""</f>
        <v/>
      </c>
      <c r="D181" s="45" t="str">
        <f>VLOOKUP($A181,'Institution Evaluation'!$A$56:$K$345,4,0)&amp;""</f>
        <v/>
      </c>
      <c r="E181" s="330" t="str">
        <f>VLOOKUP($A181,'Institution Evaluation'!$A$56:$K$345,5,0)&amp;""</f>
        <v/>
      </c>
      <c r="F181" s="188" t="str">
        <f>VLOOKUP($A181,'Institution Evaluation'!$A$56:$K$345,6,0)&amp;""</f>
        <v/>
      </c>
      <c r="G181" s="30" t="str">
        <f>VLOOKUP($A181,'Institution Evaluation'!$A$56:$K$345,7,0)&amp;""</f>
        <v>Yes</v>
      </c>
      <c r="H181" s="185" t="str">
        <f>VLOOKUP($A181,'Institution Evaluation'!$A$56:$K$345,8,0)&amp;""</f>
        <v/>
      </c>
      <c r="I181" s="45" t="str">
        <f>VLOOKUP($A181,'Institution Evaluation'!$A$56:$K$345,9,0)&amp;""</f>
        <v>Standard Importance</v>
      </c>
      <c r="J181" s="186" t="str">
        <f>VLOOKUP($A181,'Institution Evaluation'!$A$56:$K$345,10,0)&amp;""</f>
        <v/>
      </c>
      <c r="K181" s="48" t="str">
        <f>IF(VLOOKUP($A181,'Institution Evaluation'!$A$56:$K$345,10,0)=TRUE,'Auto Responses'!$J$3,"")</f>
        <v/>
      </c>
    </row>
    <row r="182" spans="1:11" ht="28.5" x14ac:dyDescent="0.2">
      <c r="A182" s="19" t="s">
        <v>363</v>
      </c>
      <c r="B182" s="18" t="str">
        <f>VLOOKUP($A182,Questions!$A$2:$X$333,2,0)</f>
        <v>Are you performing off-site backups (i.e., digitally moved off site)?</v>
      </c>
      <c r="C182" s="45" t="str">
        <f>VLOOKUP($A182,'Institution Evaluation'!$A$56:$K$345,3,0)&amp;""</f>
        <v/>
      </c>
      <c r="D182" s="45" t="str">
        <f>VLOOKUP($A182,'Institution Evaluation'!$A$56:$K$345,4,0)&amp;""</f>
        <v/>
      </c>
      <c r="E182" s="330" t="str">
        <f>VLOOKUP($A182,'Institution Evaluation'!$A$56:$K$345,5,0)&amp;""</f>
        <v/>
      </c>
      <c r="F182" s="188" t="str">
        <f>VLOOKUP($A182,'Institution Evaluation'!$A$56:$K$345,6,0)&amp;""</f>
        <v/>
      </c>
      <c r="G182" s="30" t="str">
        <f>VLOOKUP($A182,'Institution Evaluation'!$A$56:$K$345,7,0)&amp;""</f>
        <v>Yes</v>
      </c>
      <c r="H182" s="185" t="str">
        <f>VLOOKUP($A182,'Institution Evaluation'!$A$56:$K$345,8,0)&amp;""</f>
        <v/>
      </c>
      <c r="I182" s="45" t="str">
        <f>VLOOKUP($A182,'Institution Evaluation'!$A$56:$K$345,9,0)&amp;""</f>
        <v>Standard Importance</v>
      </c>
      <c r="J182" s="186" t="str">
        <f>VLOOKUP($A182,'Institution Evaluation'!$A$56:$K$345,10,0)&amp;""</f>
        <v/>
      </c>
      <c r="K182" s="48" t="str">
        <f>IF(VLOOKUP($A182,'Institution Evaluation'!$A$56:$K$345,10,0)=TRUE,'Auto Responses'!$J$3,"")</f>
        <v/>
      </c>
    </row>
    <row r="183" spans="1:11" ht="28.5" x14ac:dyDescent="0.2">
      <c r="A183" s="19" t="s">
        <v>369</v>
      </c>
      <c r="B183" s="18" t="str">
        <f>VLOOKUP($A183,Questions!$A$2:$X$333,2,0)</f>
        <v>Are physical backups taken off-site (i.e., physically moved off site)?</v>
      </c>
      <c r="C183" s="45" t="str">
        <f>VLOOKUP($A183,'Institution Evaluation'!$A$56:$K$345,3,0)&amp;""</f>
        <v/>
      </c>
      <c r="D183" s="45" t="str">
        <f>VLOOKUP($A183,'Institution Evaluation'!$A$56:$K$345,4,0)&amp;""</f>
        <v/>
      </c>
      <c r="E183" s="330" t="str">
        <f>VLOOKUP($A183,'Institution Evaluation'!$A$56:$K$345,5,0)&amp;""</f>
        <v/>
      </c>
      <c r="F183" s="188" t="str">
        <f>VLOOKUP($A183,'Institution Evaluation'!$A$56:$K$345,6,0)&amp;""</f>
        <v/>
      </c>
      <c r="G183" s="30" t="str">
        <f>VLOOKUP($A183,'Institution Evaluation'!$A$56:$K$345,7,0)&amp;""</f>
        <v>Yes</v>
      </c>
      <c r="H183" s="185" t="str">
        <f>VLOOKUP($A183,'Institution Evaluation'!$A$56:$K$345,8,0)&amp;""</f>
        <v/>
      </c>
      <c r="I183" s="45" t="str">
        <f>VLOOKUP($A183,'Institution Evaluation'!$A$56:$K$345,9,0)&amp;""</f>
        <v>Standard Importance</v>
      </c>
      <c r="J183" s="186" t="str">
        <f>VLOOKUP($A183,'Institution Evaluation'!$A$56:$K$345,10,0)&amp;""</f>
        <v/>
      </c>
      <c r="K183" s="48" t="str">
        <f>IF(VLOOKUP($A183,'Institution Evaluation'!$A$56:$K$345,10,0)=TRUE,'Auto Responses'!$J$3,"")</f>
        <v/>
      </c>
    </row>
    <row r="184" spans="1:11" ht="15" x14ac:dyDescent="0.2">
      <c r="A184" s="19" t="s">
        <v>373</v>
      </c>
      <c r="B184" s="18" t="str">
        <f>VLOOKUP($A184,Questions!$A$2:$X$333,2,0)</f>
        <v>Are data backups encrypted?</v>
      </c>
      <c r="C184" s="45" t="str">
        <f>VLOOKUP($A184,'Institution Evaluation'!$A$56:$K$345,3,0)&amp;""</f>
        <v/>
      </c>
      <c r="D184" s="45" t="str">
        <f>VLOOKUP($A184,'Institution Evaluation'!$A$56:$K$345,4,0)&amp;""</f>
        <v/>
      </c>
      <c r="E184" s="330" t="str">
        <f>VLOOKUP($A184,'Institution Evaluation'!$A$56:$K$345,5,0)&amp;""</f>
        <v/>
      </c>
      <c r="F184" s="188" t="str">
        <f>VLOOKUP($A184,'Institution Evaluation'!$A$56:$K$345,6,0)&amp;""</f>
        <v/>
      </c>
      <c r="G184" s="30" t="str">
        <f>VLOOKUP($A184,'Institution Evaluation'!$A$56:$K$345,7,0)&amp;""</f>
        <v>Yes</v>
      </c>
      <c r="H184" s="185" t="str">
        <f>VLOOKUP($A184,'Institution Evaluation'!$A$56:$K$345,8,0)&amp;""</f>
        <v/>
      </c>
      <c r="I184" s="45" t="str">
        <f>VLOOKUP($A184,'Institution Evaluation'!$A$56:$K$345,9,0)&amp;""</f>
        <v>Minor Importance</v>
      </c>
      <c r="J184" s="186" t="str">
        <f>VLOOKUP($A184,'Institution Evaluation'!$A$56:$K$345,10,0)&amp;""</f>
        <v/>
      </c>
      <c r="K184" s="48" t="str">
        <f>IF(VLOOKUP($A184,'Institution Evaluation'!$A$56:$K$345,10,0)=TRUE,'Auto Responses'!$J$3,"")</f>
        <v/>
      </c>
    </row>
    <row r="185" spans="1:11" ht="71.25" x14ac:dyDescent="0.2">
      <c r="A185" s="19" t="s">
        <v>374</v>
      </c>
      <c r="B185" s="18" t="str">
        <f>VLOOKUP($A185,Questions!$A$2:$X$333,2,0)</f>
        <v>Do you have a media handling process that is documented and currently implemented that meets established business needs and regulatory requirements, including end-of-life, repurposing, and data-sanitization procedures?</v>
      </c>
      <c r="C185" s="45" t="str">
        <f>VLOOKUP($A185,'Institution Evaluation'!$A$56:$K$345,3,0)&amp;""</f>
        <v/>
      </c>
      <c r="D185" s="45" t="str">
        <f>VLOOKUP($A185,'Institution Evaluation'!$A$56:$K$345,4,0)&amp;""</f>
        <v/>
      </c>
      <c r="E185" s="330" t="str">
        <f>VLOOKUP($A185,'Institution Evaluation'!$A$56:$K$345,5,0)&amp;""</f>
        <v/>
      </c>
      <c r="F185" s="188" t="str">
        <f>VLOOKUP($A185,'Institution Evaluation'!$A$56:$K$345,6,0)&amp;""</f>
        <v/>
      </c>
      <c r="G185" s="30" t="str">
        <f>VLOOKUP($A185,'Institution Evaluation'!$A$56:$K$345,7,0)&amp;""</f>
        <v>Yes</v>
      </c>
      <c r="H185" s="185" t="str">
        <f>VLOOKUP($A185,'Institution Evaluation'!$A$56:$K$345,8,0)&amp;""</f>
        <v/>
      </c>
      <c r="I185" s="45" t="str">
        <f>VLOOKUP($A185,'Institution Evaluation'!$A$56:$K$345,9,0)&amp;""</f>
        <v>Standard Importance</v>
      </c>
      <c r="J185" s="186" t="str">
        <f>VLOOKUP($A185,'Institution Evaluation'!$A$56:$K$345,10,0)&amp;""</f>
        <v/>
      </c>
      <c r="K185" s="48" t="str">
        <f>IF(VLOOKUP($A185,'Institution Evaluation'!$A$56:$K$345,10,0)=TRUE,'Auto Responses'!$J$3,"")</f>
        <v/>
      </c>
    </row>
    <row r="186" spans="1:11" ht="42.75" x14ac:dyDescent="0.2">
      <c r="A186" s="19" t="s">
        <v>379</v>
      </c>
      <c r="B186" s="18" t="str">
        <f>VLOOKUP($A186,Questions!$A$2:$X$333,2,0)</f>
        <v>Does your staff (or third party) have access to institutional data (e.g., financial, PHI, or other sensitive information) through any means?</v>
      </c>
      <c r="C186" s="45" t="str">
        <f>VLOOKUP($A186,'Institution Evaluation'!$A$56:$K$345,3,0)&amp;""</f>
        <v/>
      </c>
      <c r="D186" s="45" t="str">
        <f>VLOOKUP($A186,'Institution Evaluation'!$A$56:$K$345,4,0)&amp;""</f>
        <v/>
      </c>
      <c r="E186" s="330" t="str">
        <f>VLOOKUP($A186,'Institution Evaluation'!$A$56:$K$345,5,0)&amp;""</f>
        <v/>
      </c>
      <c r="F186" s="188" t="str">
        <f>VLOOKUP($A186,'Institution Evaluation'!$A$56:$K$345,6,0)&amp;""</f>
        <v/>
      </c>
      <c r="G186" s="30" t="str">
        <f>VLOOKUP($A186,'Institution Evaluation'!$A$56:$K$345,7,0)&amp;""</f>
        <v>No</v>
      </c>
      <c r="H186" s="185" t="str">
        <f>VLOOKUP($A186,'Institution Evaluation'!$A$56:$K$345,8,0)&amp;""</f>
        <v/>
      </c>
      <c r="I186" s="45" t="str">
        <f>VLOOKUP($A186,'Institution Evaluation'!$A$56:$K$345,9,0)&amp;""</f>
        <v>Standard Importance</v>
      </c>
      <c r="J186" s="186" t="str">
        <f>VLOOKUP($A186,'Institution Evaluation'!$A$56:$K$345,10,0)&amp;""</f>
        <v/>
      </c>
      <c r="K186" s="48" t="str">
        <f>IF(VLOOKUP($A186,'Institution Evaluation'!$A$56:$K$345,10,0)=TRUE,'Auto Responses'!$J$3,"")</f>
        <v/>
      </c>
    </row>
    <row r="187" spans="1:11" ht="45" x14ac:dyDescent="0.2">
      <c r="A187" s="19" t="s">
        <v>398</v>
      </c>
      <c r="B187" s="18" t="str">
        <f>VLOOKUP($A187,Questions!$A$2:$X$333,2,0)</f>
        <v>Are involatile backup copies made according to predefined schedules and securely stored and protected?</v>
      </c>
      <c r="C187" s="45" t="str">
        <f>VLOOKUP($A187,'Institution Evaluation'!$A$56:$K$345,3,0)&amp;""</f>
        <v/>
      </c>
      <c r="D187" s="45" t="str">
        <f>VLOOKUP($A187,'Institution Evaluation'!$A$56:$K$345,4,0)&amp;""</f>
        <v/>
      </c>
      <c r="E187" s="330" t="str">
        <f>VLOOKUP($A187,'Institution Evaluation'!$A$56:$K$345,5,0)&amp;""</f>
        <v>Ensure that response addresses involatile storage and lists retention periods.</v>
      </c>
      <c r="F187" s="188" t="str">
        <f>VLOOKUP($A187,'Institution Evaluation'!$A$56:$K$345,6,0)&amp;""</f>
        <v/>
      </c>
      <c r="G187" s="30" t="str">
        <f>VLOOKUP($A187,'Institution Evaluation'!$A$56:$K$345,7,0)&amp;""</f>
        <v>Yes</v>
      </c>
      <c r="H187" s="185" t="str">
        <f>VLOOKUP($A187,'Institution Evaluation'!$A$56:$K$345,8,0)&amp;""</f>
        <v/>
      </c>
      <c r="I187" s="45" t="str">
        <f>VLOOKUP($A187,'Institution Evaluation'!$A$56:$K$345,9,0)&amp;""</f>
        <v>Minor Importance</v>
      </c>
      <c r="J187" s="186" t="str">
        <f>VLOOKUP($A187,'Institution Evaluation'!$A$56:$K$345,10,0)&amp;""</f>
        <v/>
      </c>
      <c r="K187" s="48" t="str">
        <f>IF(VLOOKUP($A187,'Institution Evaluation'!$A$56:$K$345,10,0)=TRUE,'Auto Responses'!$J$3,"")</f>
        <v/>
      </c>
    </row>
    <row r="188" spans="1:11" ht="71.25" x14ac:dyDescent="0.2">
      <c r="A188" s="19" t="s">
        <v>402</v>
      </c>
      <c r="B188" s="18" t="str">
        <f>VLOOKUP($A188,Questions!$A$2:$X$333,2,0)</f>
        <v>Do you have a cryptographic key management process (generation, exchange, storage, safeguards, use, vetting, and replacement) that is documented and currently implemented, for all system components (e.g., database, system, web, etc.)?</v>
      </c>
      <c r="C188" s="45" t="str">
        <f>VLOOKUP($A188,'Institution Evaluation'!$A$56:$K$345,3,0)&amp;""</f>
        <v/>
      </c>
      <c r="D188" s="45" t="str">
        <f>VLOOKUP($A188,'Institution Evaluation'!$A$56:$K$345,4,0)&amp;""</f>
        <v/>
      </c>
      <c r="E188" s="330" t="str">
        <f>VLOOKUP($A188,'Institution Evaluation'!$A$56:$K$345,5,0)&amp;""</f>
        <v>Summarize your cryptographic key management process.</v>
      </c>
      <c r="F188" s="188" t="str">
        <f>VLOOKUP($A188,'Institution Evaluation'!$A$56:$K$345,6,0)&amp;""</f>
        <v/>
      </c>
      <c r="G188" s="30" t="str">
        <f>VLOOKUP($A188,'Institution Evaluation'!$A$56:$K$345,7,0)&amp;""</f>
        <v>Yes</v>
      </c>
      <c r="H188" s="185" t="str">
        <f>VLOOKUP($A188,'Institution Evaluation'!$A$56:$K$345,8,0)&amp;""</f>
        <v/>
      </c>
      <c r="I188" s="45" t="str">
        <f>VLOOKUP($A188,'Institution Evaluation'!$A$56:$K$345,9,0)&amp;""</f>
        <v>Minor Importance</v>
      </c>
      <c r="J188" s="186" t="str">
        <f>VLOOKUP($A188,'Institution Evaluation'!$A$56:$K$345,10,0)&amp;""</f>
        <v/>
      </c>
      <c r="K188" s="48" t="str">
        <f>IF(VLOOKUP($A188,'Institution Evaluation'!$A$56:$K$345,10,0)=TRUE,'Auto Responses'!$J$3,"")</f>
        <v/>
      </c>
    </row>
    <row r="189" spans="1:11" s="1" customFormat="1" ht="18" x14ac:dyDescent="0.2">
      <c r="A189" s="63" t="str">
        <f>VLOOKUP(LEFT($A190,4),'Auto Responses'!$N$4:$O$38,2,0)&amp;""</f>
        <v xml:space="preserve"> Datacenter</v>
      </c>
      <c r="B189" s="22"/>
      <c r="C189" s="31"/>
      <c r="D189" s="31"/>
      <c r="E189" s="331"/>
      <c r="F189" s="132" t="s">
        <v>1030</v>
      </c>
      <c r="G189" s="335" t="s">
        <v>869</v>
      </c>
      <c r="H189" s="335" t="s">
        <v>871</v>
      </c>
      <c r="I189" s="335" t="s">
        <v>19</v>
      </c>
      <c r="J189" s="335" t="s">
        <v>856</v>
      </c>
      <c r="K189" s="31"/>
    </row>
    <row r="190" spans="1:11" ht="90" x14ac:dyDescent="0.2">
      <c r="A190" s="19" t="s">
        <v>407</v>
      </c>
      <c r="B190" s="18" t="str">
        <f>VLOOKUP($A190,Questions!$A$2:$X$333,2,0)</f>
        <v>Select your hosting option.</v>
      </c>
      <c r="C190" s="45" t="str">
        <f>VLOOKUP($A190,'Institution Evaluation'!$A$56:$K$345,3,0)&amp;""</f>
        <v/>
      </c>
      <c r="D190" s="45" t="str">
        <f>VLOOKUP($A190,'Institution Evaluation'!$A$56:$K$345,4,0)&amp;""</f>
        <v/>
      </c>
      <c r="E190" s="330" t="str">
        <f>VLOOKUP($A190,'Institution Evaluation'!$A$56:$K$345,5,0)&amp;""</f>
        <v>If you are using an option not listed, or a combination of options, select "Other." Your selection here will determine which questions below are required.</v>
      </c>
      <c r="F190" s="188" t="str">
        <f>VLOOKUP($A190,'Institution Evaluation'!$A$56:$K$345,6,0)&amp;""</f>
        <v/>
      </c>
      <c r="G190" s="30" t="str">
        <f>VLOOKUP($A190,'Institution Evaluation'!$A$56:$K$345,7,0)&amp;""</f>
        <v>Not scored</v>
      </c>
      <c r="H190" s="185" t="str">
        <f>VLOOKUP($A190,'Institution Evaluation'!$A$56:$K$345,8,0)&amp;""</f>
        <v/>
      </c>
      <c r="I190" s="45" t="str">
        <f>VLOOKUP($A190,'Institution Evaluation'!$A$56:$K$345,9,0)&amp;""</f>
        <v/>
      </c>
      <c r="J190" s="186" t="str">
        <f>VLOOKUP($A190,'Institution Evaluation'!$A$56:$K$345,10,0)&amp;""</f>
        <v/>
      </c>
      <c r="K190" s="48" t="str">
        <f>IF(VLOOKUP($A190,'Institution Evaluation'!$A$56:$K$345,10,0)=TRUE,'Auto Responses'!$J$3,"")</f>
        <v/>
      </c>
    </row>
    <row r="191" spans="1:11" ht="28.5" x14ac:dyDescent="0.2">
      <c r="A191" s="19" t="s">
        <v>414</v>
      </c>
      <c r="B191" s="18" t="str">
        <f>VLOOKUP($A191,Questions!$A$2:$X$333,2,0)</f>
        <v>Are you generally able to accommodate storing each institution's data within its geographic region?</v>
      </c>
      <c r="C191" s="45" t="str">
        <f>VLOOKUP($A191,'Institution Evaluation'!$A$56:$K$345,3,0)&amp;""</f>
        <v/>
      </c>
      <c r="D191" s="45" t="str">
        <f>VLOOKUP($A191,'Institution Evaluation'!$A$56:$K$345,4,0)&amp;""</f>
        <v/>
      </c>
      <c r="E191" s="330" t="str">
        <f>VLOOKUP($A191,'Institution Evaluation'!$A$56:$K$345,5,0)&amp;""</f>
        <v/>
      </c>
      <c r="F191" s="188" t="str">
        <f>VLOOKUP($A191,'Institution Evaluation'!$A$56:$K$345,6,0)&amp;""</f>
        <v/>
      </c>
      <c r="G191" s="30" t="str">
        <f>VLOOKUP($A191,'Institution Evaluation'!$A$56:$K$345,7,0)&amp;""</f>
        <v>Yes</v>
      </c>
      <c r="H191" s="185" t="str">
        <f>VLOOKUP($A191,'Institution Evaluation'!$A$56:$K$345,8,0)&amp;""</f>
        <v/>
      </c>
      <c r="I191" s="45" t="str">
        <f>VLOOKUP($A191,'Institution Evaluation'!$A$56:$K$345,9,0)&amp;""</f>
        <v>Standard Importance</v>
      </c>
      <c r="J191" s="186" t="str">
        <f>VLOOKUP($A191,'Institution Evaluation'!$A$56:$K$345,10,0)&amp;""</f>
        <v/>
      </c>
      <c r="K191" s="48" t="str">
        <f>IF(VLOOKUP($A191,'Institution Evaluation'!$A$56:$K$345,10,0)=TRUE,'Auto Responses'!$J$3,"")</f>
        <v/>
      </c>
    </row>
    <row r="192" spans="1:11" s="1" customFormat="1" ht="18" x14ac:dyDescent="0.2">
      <c r="A192" s="63" t="str">
        <f>VLOOKUP(LEFT($A193,4),'Auto Responses'!$N$4:$O$38,2,0)&amp;""</f>
        <v xml:space="preserve"> Firewalls, IDS, IPS, and Networking</v>
      </c>
      <c r="B192" s="22"/>
      <c r="C192" s="31"/>
      <c r="D192" s="31"/>
      <c r="E192" s="331"/>
      <c r="F192" s="132" t="s">
        <v>1030</v>
      </c>
      <c r="G192" s="335" t="s">
        <v>869</v>
      </c>
      <c r="H192" s="335" t="s">
        <v>871</v>
      </c>
      <c r="I192" s="335" t="s">
        <v>19</v>
      </c>
      <c r="J192" s="335" t="s">
        <v>856</v>
      </c>
      <c r="K192" s="31"/>
    </row>
    <row r="193" spans="1:11" ht="28.5" x14ac:dyDescent="0.2">
      <c r="A193" s="19" t="s">
        <v>462</v>
      </c>
      <c r="B193" s="18" t="str">
        <f>VLOOKUP($A193,Questions!$A$2:$X$333,2,0)</f>
        <v>Are you utilizing a stateful packet inspection (SPI) firewall?*</v>
      </c>
      <c r="C193" s="45" t="str">
        <f>VLOOKUP($A193,'Institution Evaluation'!$A$56:$K$345,3,0)&amp;""</f>
        <v/>
      </c>
      <c r="D193" s="45" t="str">
        <f>VLOOKUP($A193,'Institution Evaluation'!$A$56:$K$345,4,0)&amp;""</f>
        <v/>
      </c>
      <c r="E193" s="330" t="str">
        <f>VLOOKUP($A193,'Institution Evaluation'!$A$56:$K$345,5,0)&amp;""</f>
        <v/>
      </c>
      <c r="F193" s="188" t="str">
        <f>VLOOKUP($A193,'Institution Evaluation'!$A$56:$K$345,6,0)&amp;""</f>
        <v/>
      </c>
      <c r="G193" s="30" t="str">
        <f>VLOOKUP($A193,'Institution Evaluation'!$A$56:$K$345,7,0)&amp;""</f>
        <v>Yes</v>
      </c>
      <c r="H193" s="185" t="str">
        <f>VLOOKUP($A193,'Institution Evaluation'!$A$56:$K$345,8,0)&amp;""</f>
        <v/>
      </c>
      <c r="I193" s="45" t="str">
        <f>VLOOKUP($A193,'Institution Evaluation'!$A$56:$K$345,9,0)&amp;""</f>
        <v>Critical Importance</v>
      </c>
      <c r="J193" s="186" t="str">
        <f>VLOOKUP($A193,'Institution Evaluation'!$A$56:$K$345,10,0)&amp;""</f>
        <v/>
      </c>
      <c r="K193" s="48" t="str">
        <f>IF(VLOOKUP($A193,'Institution Evaluation'!$A$56:$K$345,10,0)=TRUE,'Auto Responses'!$J$3,"")</f>
        <v/>
      </c>
    </row>
    <row r="194" spans="1:11" ht="28.5" x14ac:dyDescent="0.2">
      <c r="A194" s="19" t="s">
        <v>465</v>
      </c>
      <c r="B194" s="18" t="str">
        <f>VLOOKUP($A194,Questions!$A$2:$X$333,2,0)</f>
        <v>Do you have a documented policy for firewall change requests?*</v>
      </c>
      <c r="C194" s="45" t="str">
        <f>VLOOKUP($A194,'Institution Evaluation'!$A$56:$K$345,3,0)&amp;""</f>
        <v/>
      </c>
      <c r="D194" s="45" t="str">
        <f>VLOOKUP($A194,'Institution Evaluation'!$A$56:$K$345,4,0)&amp;""</f>
        <v/>
      </c>
      <c r="E194" s="330" t="str">
        <f>VLOOKUP($A194,'Institution Evaluation'!$A$56:$K$345,5,0)&amp;""</f>
        <v/>
      </c>
      <c r="F194" s="188" t="str">
        <f>VLOOKUP($A194,'Institution Evaluation'!$A$56:$K$345,6,0)&amp;""</f>
        <v/>
      </c>
      <c r="G194" s="30" t="str">
        <f>VLOOKUP($A194,'Institution Evaluation'!$A$56:$K$345,7,0)&amp;""</f>
        <v>Yes</v>
      </c>
      <c r="H194" s="185" t="str">
        <f>VLOOKUP($A194,'Institution Evaluation'!$A$56:$K$345,8,0)&amp;""</f>
        <v/>
      </c>
      <c r="I194" s="45" t="str">
        <f>VLOOKUP($A194,'Institution Evaluation'!$A$56:$K$345,9,0)&amp;""</f>
        <v>Critical Importance</v>
      </c>
      <c r="J194" s="186" t="str">
        <f>VLOOKUP($A194,'Institution Evaluation'!$A$56:$K$345,10,0)&amp;""</f>
        <v/>
      </c>
      <c r="K194" s="48" t="str">
        <f>IF(VLOOKUP($A194,'Institution Evaluation'!$A$56:$K$345,10,0)=TRUE,'Auto Responses'!$J$3,"")</f>
        <v/>
      </c>
    </row>
    <row r="195" spans="1:11" ht="28.5" x14ac:dyDescent="0.2">
      <c r="A195" s="19" t="s">
        <v>470</v>
      </c>
      <c r="B195" s="18" t="str">
        <f>VLOOKUP($A195,Questions!$A$2:$X$333,2,0)</f>
        <v>Have you implemented an intrusion detection system (network-based)?*</v>
      </c>
      <c r="C195" s="45" t="str">
        <f>VLOOKUP($A195,'Institution Evaluation'!$A$56:$K$345,3,0)&amp;""</f>
        <v/>
      </c>
      <c r="D195" s="45" t="str">
        <f>VLOOKUP($A195,'Institution Evaluation'!$A$56:$K$345,4,0)&amp;""</f>
        <v/>
      </c>
      <c r="E195" s="330" t="str">
        <f>VLOOKUP($A195,'Institution Evaluation'!$A$56:$K$345,5,0)&amp;""</f>
        <v/>
      </c>
      <c r="F195" s="188" t="str">
        <f>VLOOKUP($A195,'Institution Evaluation'!$A$56:$K$345,6,0)&amp;""</f>
        <v/>
      </c>
      <c r="G195" s="30" t="str">
        <f>VLOOKUP($A195,'Institution Evaluation'!$A$56:$K$345,7,0)&amp;""</f>
        <v>Yes</v>
      </c>
      <c r="H195" s="185" t="str">
        <f>VLOOKUP($A195,'Institution Evaluation'!$A$56:$K$345,8,0)&amp;""</f>
        <v/>
      </c>
      <c r="I195" s="45" t="str">
        <f>VLOOKUP($A195,'Institution Evaluation'!$A$56:$K$345,9,0)&amp;""</f>
        <v>Critical Importance</v>
      </c>
      <c r="J195" s="186" t="str">
        <f>VLOOKUP($A195,'Institution Evaluation'!$A$56:$K$345,10,0)&amp;""</f>
        <v/>
      </c>
      <c r="K195" s="48" t="str">
        <f>IF(VLOOKUP($A195,'Institution Evaluation'!$A$56:$K$345,10,0)=TRUE,'Auto Responses'!$J$3,"")</f>
        <v/>
      </c>
    </row>
    <row r="196" spans="1:11" ht="15" x14ac:dyDescent="0.2">
      <c r="A196" s="19" t="s">
        <v>475</v>
      </c>
      <c r="B196" s="18" t="str">
        <f>VLOOKUP($A196,Questions!$A$2:$X$333,2,0)</f>
        <v>Do you employ host-based intrusion detection?*</v>
      </c>
      <c r="C196" s="45" t="str">
        <f>VLOOKUP($A196,'Institution Evaluation'!$A$56:$K$345,3,0)&amp;""</f>
        <v/>
      </c>
      <c r="D196" s="45" t="str">
        <f>VLOOKUP($A196,'Institution Evaluation'!$A$56:$K$345,4,0)&amp;""</f>
        <v/>
      </c>
      <c r="E196" s="330" t="str">
        <f>VLOOKUP($A196,'Institution Evaluation'!$A$56:$K$345,5,0)&amp;""</f>
        <v/>
      </c>
      <c r="F196" s="188" t="str">
        <f>VLOOKUP($A196,'Institution Evaluation'!$A$56:$K$345,6,0)&amp;""</f>
        <v/>
      </c>
      <c r="G196" s="30" t="str">
        <f>VLOOKUP($A196,'Institution Evaluation'!$A$56:$K$345,7,0)&amp;""</f>
        <v>Yes</v>
      </c>
      <c r="H196" s="185" t="str">
        <f>VLOOKUP($A196,'Institution Evaluation'!$A$56:$K$345,8,0)&amp;""</f>
        <v/>
      </c>
      <c r="I196" s="45" t="str">
        <f>VLOOKUP($A196,'Institution Evaluation'!$A$56:$K$345,9,0)&amp;""</f>
        <v>Critical Importance</v>
      </c>
      <c r="J196" s="186" t="str">
        <f>VLOOKUP($A196,'Institution Evaluation'!$A$56:$K$345,10,0)&amp;""</f>
        <v/>
      </c>
      <c r="K196" s="48" t="str">
        <f>IF(VLOOKUP($A196,'Institution Evaluation'!$A$56:$K$345,10,0)=TRUE,'Auto Responses'!$J$3,"")</f>
        <v/>
      </c>
    </row>
    <row r="197" spans="1:11" ht="28.5" x14ac:dyDescent="0.2">
      <c r="A197" s="19" t="s">
        <v>478</v>
      </c>
      <c r="B197" s="18" t="str">
        <f>VLOOKUP($A197,Questions!$A$2:$X$333,2,0)</f>
        <v>Are audit logs available for all changes to the network, firewall, IDS, and IPS systems?*</v>
      </c>
      <c r="C197" s="45" t="str">
        <f>VLOOKUP($A197,'Institution Evaluation'!$A$56:$K$345,3,0)&amp;""</f>
        <v/>
      </c>
      <c r="D197" s="45" t="str">
        <f>VLOOKUP($A197,'Institution Evaluation'!$A$56:$K$345,4,0)&amp;""</f>
        <v/>
      </c>
      <c r="E197" s="330" t="str">
        <f>VLOOKUP($A197,'Institution Evaluation'!$A$56:$K$345,5,0)&amp;""</f>
        <v/>
      </c>
      <c r="F197" s="188" t="str">
        <f>VLOOKUP($A197,'Institution Evaluation'!$A$56:$K$345,6,0)&amp;""</f>
        <v/>
      </c>
      <c r="G197" s="30" t="str">
        <f>VLOOKUP($A197,'Institution Evaluation'!$A$56:$K$345,7,0)&amp;""</f>
        <v>Yes</v>
      </c>
      <c r="H197" s="185" t="str">
        <f>VLOOKUP($A197,'Institution Evaluation'!$A$56:$K$345,8,0)&amp;""</f>
        <v/>
      </c>
      <c r="I197" s="45" t="str">
        <f>VLOOKUP($A197,'Institution Evaluation'!$A$56:$K$345,9,0)&amp;""</f>
        <v>Critical Importance</v>
      </c>
      <c r="J197" s="186" t="str">
        <f>VLOOKUP($A197,'Institution Evaluation'!$A$56:$K$345,10,0)&amp;""</f>
        <v/>
      </c>
      <c r="K197" s="48" t="str">
        <f>IF(VLOOKUP($A197,'Institution Evaluation'!$A$56:$K$345,10,0)=TRUE,'Auto Responses'!$J$3,"")</f>
        <v/>
      </c>
    </row>
    <row r="198" spans="1:11" ht="28.5" x14ac:dyDescent="0.2">
      <c r="A198" s="19" t="s">
        <v>490</v>
      </c>
      <c r="B198" s="18" t="str">
        <f>VLOOKUP($A198,Questions!$A$2:$X$333,2,0)</f>
        <v>Are you employing any next-generation persistent threat (NGPT) monitoring?</v>
      </c>
      <c r="C198" s="45" t="str">
        <f>VLOOKUP($A198,'Institution Evaluation'!$A$56:$K$345,3,0)&amp;""</f>
        <v/>
      </c>
      <c r="D198" s="45" t="str">
        <f>VLOOKUP($A198,'Institution Evaluation'!$A$56:$K$345,4,0)&amp;""</f>
        <v/>
      </c>
      <c r="E198" s="330" t="str">
        <f>VLOOKUP($A198,'Institution Evaluation'!$A$56:$K$345,5,0)&amp;""</f>
        <v/>
      </c>
      <c r="F198" s="188" t="str">
        <f>VLOOKUP($A198,'Institution Evaluation'!$A$56:$K$345,6,0)&amp;""</f>
        <v/>
      </c>
      <c r="G198" s="30" t="str">
        <f>VLOOKUP($A198,'Institution Evaluation'!$A$56:$K$345,7,0)&amp;""</f>
        <v>Yes</v>
      </c>
      <c r="H198" s="185" t="str">
        <f>VLOOKUP($A198,'Institution Evaluation'!$A$56:$K$345,8,0)&amp;""</f>
        <v/>
      </c>
      <c r="I198" s="45" t="str">
        <f>VLOOKUP($A198,'Institution Evaluation'!$A$56:$K$345,9,0)&amp;""</f>
        <v>Standard Importance</v>
      </c>
      <c r="J198" s="186" t="str">
        <f>VLOOKUP($A198,'Institution Evaluation'!$A$56:$K$345,10,0)&amp;""</f>
        <v/>
      </c>
      <c r="K198" s="48" t="str">
        <f>IF(VLOOKUP($A198,'Institution Evaluation'!$A$56:$K$345,10,0)=TRUE,'Auto Responses'!$J$3,"")</f>
        <v/>
      </c>
    </row>
    <row r="199" spans="1:11" s="1" customFormat="1" ht="18" x14ac:dyDescent="0.2">
      <c r="A199" s="63" t="str">
        <f>VLOOKUP(LEFT($A200,4),'Auto Responses'!$N$4:$O$38,2,0)&amp;""</f>
        <v xml:space="preserve"> Policies, Processes, and Procedures</v>
      </c>
      <c r="B199" s="22"/>
      <c r="C199" s="31"/>
      <c r="D199" s="31"/>
      <c r="E199" s="331"/>
      <c r="F199" s="132" t="s">
        <v>1030</v>
      </c>
      <c r="G199" s="335" t="s">
        <v>869</v>
      </c>
      <c r="H199" s="335" t="s">
        <v>871</v>
      </c>
      <c r="I199" s="335" t="s">
        <v>19</v>
      </c>
      <c r="J199" s="335" t="s">
        <v>856</v>
      </c>
      <c r="K199" s="31"/>
    </row>
    <row r="200" spans="1:11" ht="45" x14ac:dyDescent="0.2">
      <c r="A200" s="19" t="s">
        <v>506</v>
      </c>
      <c r="B200" s="18" t="str">
        <f>VLOOKUP($A200,Questions!$A$2:$X$333,2,0)</f>
        <v>Is your company subject to the institution's geographic region's laws and regulations?*</v>
      </c>
      <c r="C200" s="45" t="str">
        <f>VLOOKUP($A200,'Institution Evaluation'!$A$56:$K$345,3,0)&amp;""</f>
        <v/>
      </c>
      <c r="D200" s="45" t="str">
        <f>VLOOKUP($A200,'Institution Evaluation'!$A$56:$K$345,4,0)&amp;""</f>
        <v/>
      </c>
      <c r="E200" s="330" t="str">
        <f>VLOOKUP($A200,'Institution Evaluation'!$A$56:$K$345,5,0)&amp;""</f>
        <v>State the country that governs and regulates your company.</v>
      </c>
      <c r="F200" s="188" t="str">
        <f>VLOOKUP($A200,'Institution Evaluation'!$A$56:$K$345,6,0)&amp;""</f>
        <v/>
      </c>
      <c r="G200" s="30" t="str">
        <f>VLOOKUP($A200,'Institution Evaluation'!$A$56:$K$345,7,0)&amp;""</f>
        <v>Yes</v>
      </c>
      <c r="H200" s="185" t="str">
        <f>VLOOKUP($A200,'Institution Evaluation'!$A$56:$K$345,8,0)&amp;""</f>
        <v/>
      </c>
      <c r="I200" s="45" t="str">
        <f>VLOOKUP($A200,'Institution Evaluation'!$A$56:$K$345,9,0)&amp;""</f>
        <v>Critical Importance</v>
      </c>
      <c r="J200" s="186" t="str">
        <f>VLOOKUP($A200,'Institution Evaluation'!$A$56:$K$345,10,0)&amp;""</f>
        <v/>
      </c>
      <c r="K200" s="48" t="str">
        <f>IF(VLOOKUP($A200,'Institution Evaluation'!$A$56:$K$345,10,0)=TRUE,'Auto Responses'!$J$3,"")</f>
        <v/>
      </c>
    </row>
    <row r="201" spans="1:11" ht="28.5" x14ac:dyDescent="0.2">
      <c r="A201" s="19" t="s">
        <v>510</v>
      </c>
      <c r="B201" s="18" t="str">
        <f>VLOOKUP($A201,Questions!$A$2:$X$333,2,0)</f>
        <v>Can you accommodate encryption requirements using open standards?</v>
      </c>
      <c r="C201" s="45" t="str">
        <f>VLOOKUP($A201,'Institution Evaluation'!$A$56:$K$345,3,0)&amp;""</f>
        <v/>
      </c>
      <c r="D201" s="45" t="str">
        <f>VLOOKUP($A201,'Institution Evaluation'!$A$56:$K$345,4,0)&amp;""</f>
        <v/>
      </c>
      <c r="E201" s="330" t="str">
        <f>VLOOKUP($A201,'Institution Evaluation'!$A$56:$K$345,5,0)&amp;""</f>
        <v/>
      </c>
      <c r="F201" s="188" t="str">
        <f>VLOOKUP($A201,'Institution Evaluation'!$A$56:$K$345,6,0)&amp;""</f>
        <v/>
      </c>
      <c r="G201" s="30" t="str">
        <f>VLOOKUP($A201,'Institution Evaluation'!$A$56:$K$345,7,0)&amp;""</f>
        <v>Yes</v>
      </c>
      <c r="H201" s="185" t="str">
        <f>VLOOKUP($A201,'Institution Evaluation'!$A$56:$K$345,8,0)&amp;""</f>
        <v/>
      </c>
      <c r="I201" s="45" t="str">
        <f>VLOOKUP($A201,'Institution Evaluation'!$A$56:$K$345,9,0)&amp;""</f>
        <v>Standard Importance</v>
      </c>
      <c r="J201" s="186" t="str">
        <f>VLOOKUP($A201,'Institution Evaluation'!$A$56:$K$345,10,0)&amp;""</f>
        <v/>
      </c>
      <c r="K201" s="48" t="str">
        <f>IF(VLOOKUP($A201,'Institution Evaluation'!$A$56:$K$345,10,0)=TRUE,'Auto Responses'!$J$3,"")</f>
        <v/>
      </c>
    </row>
    <row r="202" spans="1:11" ht="28.5" x14ac:dyDescent="0.2">
      <c r="A202" s="19" t="s">
        <v>531</v>
      </c>
      <c r="B202" s="18" t="str">
        <f>VLOOKUP($A202,Questions!$A$2:$X$333,2,0)</f>
        <v>Will you comply with applicable breach notification laws?</v>
      </c>
      <c r="C202" s="45" t="str">
        <f>VLOOKUP($A202,'Institution Evaluation'!$A$56:$K$345,3,0)&amp;""</f>
        <v/>
      </c>
      <c r="D202" s="45" t="str">
        <f>VLOOKUP($A202,'Institution Evaluation'!$A$56:$K$345,4,0)&amp;""</f>
        <v/>
      </c>
      <c r="E202" s="330" t="str">
        <f>VLOOKUP($A202,'Institution Evaluation'!$A$56:$K$345,5,0)&amp;""</f>
        <v/>
      </c>
      <c r="F202" s="188" t="str">
        <f>VLOOKUP($A202,'Institution Evaluation'!$A$56:$K$345,6,0)&amp;""</f>
        <v/>
      </c>
      <c r="G202" s="30" t="str">
        <f>VLOOKUP($A202,'Institution Evaluation'!$A$56:$K$345,7,0)&amp;""</f>
        <v>Yes</v>
      </c>
      <c r="H202" s="185" t="str">
        <f>VLOOKUP($A202,'Institution Evaluation'!$A$56:$K$345,8,0)&amp;""</f>
        <v/>
      </c>
      <c r="I202" s="45" t="str">
        <f>VLOOKUP($A202,'Institution Evaluation'!$A$56:$K$345,9,0)&amp;""</f>
        <v>Minor Importance</v>
      </c>
      <c r="J202" s="186" t="str">
        <f>VLOOKUP($A202,'Institution Evaluation'!$A$56:$K$345,10,0)&amp;""</f>
        <v/>
      </c>
      <c r="K202" s="48" t="str">
        <f>IF(VLOOKUP($A202,'Institution Evaluation'!$A$56:$K$345,10,0)=TRUE,'Auto Responses'!$J$3,"")</f>
        <v/>
      </c>
    </row>
    <row r="203" spans="1:11" ht="28.5" x14ac:dyDescent="0.2">
      <c r="A203" s="19" t="s">
        <v>535</v>
      </c>
      <c r="B203" s="18" t="str">
        <f>VLOOKUP($A203,Questions!$A$2:$X$333,2,0)</f>
        <v>Do you have an information security awareness program?</v>
      </c>
      <c r="C203" s="45" t="str">
        <f>VLOOKUP($A203,'Institution Evaluation'!$A$56:$K$345,3,0)&amp;""</f>
        <v/>
      </c>
      <c r="D203" s="45" t="str">
        <f>VLOOKUP($A203,'Institution Evaluation'!$A$56:$K$345,4,0)&amp;""</f>
        <v/>
      </c>
      <c r="E203" s="330" t="str">
        <f>VLOOKUP($A203,'Institution Evaluation'!$A$56:$K$345,5,0)&amp;""</f>
        <v/>
      </c>
      <c r="F203" s="188" t="str">
        <f>VLOOKUP($A203,'Institution Evaluation'!$A$56:$K$345,6,0)&amp;""</f>
        <v/>
      </c>
      <c r="G203" s="30" t="str">
        <f>VLOOKUP($A203,'Institution Evaluation'!$A$56:$K$345,7,0)&amp;""</f>
        <v>Yes</v>
      </c>
      <c r="H203" s="185" t="str">
        <f>VLOOKUP($A203,'Institution Evaluation'!$A$56:$K$345,8,0)&amp;""</f>
        <v/>
      </c>
      <c r="I203" s="45" t="str">
        <f>VLOOKUP($A203,'Institution Evaluation'!$A$56:$K$345,9,0)&amp;""</f>
        <v>Minor Importance</v>
      </c>
      <c r="J203" s="186" t="str">
        <f>VLOOKUP($A203,'Institution Evaluation'!$A$56:$K$345,10,0)&amp;""</f>
        <v/>
      </c>
      <c r="K203" s="48" t="str">
        <f>IF(VLOOKUP($A203,'Institution Evaluation'!$A$56:$K$345,10,0)=TRUE,'Auto Responses'!$J$3,"")</f>
        <v/>
      </c>
    </row>
    <row r="204" spans="1:11" ht="28.5" x14ac:dyDescent="0.2">
      <c r="A204" s="19" t="s">
        <v>540</v>
      </c>
      <c r="B204" s="18" t="str">
        <f>VLOOKUP($A204,Questions!$A$2:$X$333,2,0)</f>
        <v>Is security awareness training mandatory for all employees?</v>
      </c>
      <c r="C204" s="45" t="str">
        <f>VLOOKUP($A204,'Institution Evaluation'!$A$56:$K$345,3,0)&amp;""</f>
        <v/>
      </c>
      <c r="D204" s="45" t="str">
        <f>VLOOKUP($A204,'Institution Evaluation'!$A$56:$K$345,4,0)&amp;""</f>
        <v/>
      </c>
      <c r="E204" s="330" t="str">
        <f>VLOOKUP($A204,'Institution Evaluation'!$A$56:$K$345,5,0)&amp;""</f>
        <v/>
      </c>
      <c r="F204" s="188" t="str">
        <f>VLOOKUP($A204,'Institution Evaluation'!$A$56:$K$345,6,0)&amp;""</f>
        <v/>
      </c>
      <c r="G204" s="30" t="str">
        <f>VLOOKUP($A204,'Institution Evaluation'!$A$56:$K$345,7,0)&amp;""</f>
        <v>Yes</v>
      </c>
      <c r="H204" s="185" t="str">
        <f>VLOOKUP($A204,'Institution Evaluation'!$A$56:$K$345,8,0)&amp;""</f>
        <v/>
      </c>
      <c r="I204" s="45" t="str">
        <f>VLOOKUP($A204,'Institution Evaluation'!$A$56:$K$345,9,0)&amp;""</f>
        <v>Minor Importance</v>
      </c>
      <c r="J204" s="186" t="str">
        <f>VLOOKUP($A204,'Institution Evaluation'!$A$56:$K$345,10,0)&amp;""</f>
        <v/>
      </c>
      <c r="K204" s="48" t="str">
        <f>IF(VLOOKUP($A204,'Institution Evaluation'!$A$56:$K$345,10,0)=TRUE,'Auto Responses'!$J$3,"")</f>
        <v/>
      </c>
    </row>
    <row r="205" spans="1:11" ht="42.75" x14ac:dyDescent="0.2">
      <c r="A205" s="19" t="s">
        <v>548</v>
      </c>
      <c r="B205" s="18" t="str">
        <f>VLOOKUP($A205,Questions!$A$2:$X$333,2,0)</f>
        <v>Do you have documented, and currently implemented, internal audit processes and procedures?</v>
      </c>
      <c r="C205" s="45" t="str">
        <f>VLOOKUP($A205,'Institution Evaluation'!$A$56:$K$345,3,0)&amp;""</f>
        <v/>
      </c>
      <c r="D205" s="45" t="str">
        <f>VLOOKUP($A205,'Institution Evaluation'!$A$56:$K$345,4,0)&amp;""</f>
        <v/>
      </c>
      <c r="E205" s="330" t="str">
        <f>VLOOKUP($A205,'Institution Evaluation'!$A$56:$K$345,5,0)&amp;""</f>
        <v/>
      </c>
      <c r="F205" s="188" t="str">
        <f>VLOOKUP($A205,'Institution Evaluation'!$A$56:$K$345,6,0)&amp;""</f>
        <v/>
      </c>
      <c r="G205" s="30" t="str">
        <f>VLOOKUP($A205,'Institution Evaluation'!$A$56:$K$345,7,0)&amp;""</f>
        <v>Yes</v>
      </c>
      <c r="H205" s="185" t="str">
        <f>VLOOKUP($A205,'Institution Evaluation'!$A$56:$K$345,8,0)&amp;""</f>
        <v/>
      </c>
      <c r="I205" s="45" t="str">
        <f>VLOOKUP($A205,'Institution Evaluation'!$A$56:$K$345,9,0)&amp;""</f>
        <v>Minor Importance</v>
      </c>
      <c r="J205" s="186" t="str">
        <f>VLOOKUP($A205,'Institution Evaluation'!$A$56:$K$345,10,0)&amp;""</f>
        <v/>
      </c>
      <c r="K205" s="48" t="str">
        <f>IF(VLOOKUP($A205,'Institution Evaluation'!$A$56:$K$345,10,0)=TRUE,'Auto Responses'!$J$3,"")</f>
        <v/>
      </c>
    </row>
    <row r="206" spans="1:11" ht="28.5" x14ac:dyDescent="0.2">
      <c r="A206" s="19" t="s">
        <v>553</v>
      </c>
      <c r="B206" s="18" t="str">
        <f>VLOOKUP($A206,Questions!$A$2:$X$333,2,0)</f>
        <v>Does your organization have physical security controls and policies in place?</v>
      </c>
      <c r="C206" s="45" t="str">
        <f>VLOOKUP($A206,'Institution Evaluation'!$A$56:$K$345,3,0)&amp;""</f>
        <v/>
      </c>
      <c r="D206" s="45" t="str">
        <f>VLOOKUP($A206,'Institution Evaluation'!$A$56:$K$345,4,0)&amp;""</f>
        <v/>
      </c>
      <c r="E206" s="330" t="str">
        <f>VLOOKUP($A206,'Institution Evaluation'!$A$56:$K$345,5,0)&amp;""</f>
        <v/>
      </c>
      <c r="F206" s="188" t="str">
        <f>VLOOKUP($A206,'Institution Evaluation'!$A$56:$K$345,6,0)&amp;""</f>
        <v/>
      </c>
      <c r="G206" s="30" t="str">
        <f>VLOOKUP($A206,'Institution Evaluation'!$A$56:$K$345,7,0)&amp;""</f>
        <v>Yes</v>
      </c>
      <c r="H206" s="185" t="str">
        <f>VLOOKUP($A206,'Institution Evaluation'!$A$56:$K$345,8,0)&amp;""</f>
        <v/>
      </c>
      <c r="I206" s="45" t="str">
        <f>VLOOKUP($A206,'Institution Evaluation'!$A$56:$K$345,9,0)&amp;""</f>
        <v>Minor Importance</v>
      </c>
      <c r="J206" s="186" t="str">
        <f>VLOOKUP($A206,'Institution Evaluation'!$A$56:$K$345,10,0)&amp;""</f>
        <v/>
      </c>
      <c r="K206" s="48" t="str">
        <f>IF(VLOOKUP($A206,'Institution Evaluation'!$A$56:$K$345,10,0)=TRUE,'Auto Responses'!$J$3,"")</f>
        <v/>
      </c>
    </row>
    <row r="207" spans="1:11" s="1" customFormat="1" ht="18" x14ac:dyDescent="0.2">
      <c r="A207" s="63" t="str">
        <f>VLOOKUP(LEFT($A208,4),'Auto Responses'!$N$4:$O$38,2,0)&amp;""</f>
        <v xml:space="preserve"> Incident Handling</v>
      </c>
      <c r="B207" s="22"/>
      <c r="C207" s="31"/>
      <c r="D207" s="31"/>
      <c r="E207" s="331"/>
      <c r="F207" s="132" t="s">
        <v>1030</v>
      </c>
      <c r="G207" s="335" t="s">
        <v>869</v>
      </c>
      <c r="H207" s="335" t="s">
        <v>871</v>
      </c>
      <c r="I207" s="335" t="s">
        <v>19</v>
      </c>
      <c r="J207" s="335" t="s">
        <v>856</v>
      </c>
      <c r="K207" s="31"/>
    </row>
    <row r="208" spans="1:11" ht="15" x14ac:dyDescent="0.2">
      <c r="A208" s="19" t="s">
        <v>558</v>
      </c>
      <c r="B208" s="18" t="str">
        <f>VLOOKUP($A208,Questions!$A$2:$X$333,2,0)</f>
        <v>Do you have a formal incident response plan?</v>
      </c>
      <c r="C208" s="45" t="str">
        <f>VLOOKUP($A208,'Institution Evaluation'!$A$56:$K$345,3,0)&amp;""</f>
        <v/>
      </c>
      <c r="D208" s="45" t="str">
        <f>VLOOKUP($A208,'Institution Evaluation'!$A$56:$K$345,4,0)&amp;""</f>
        <v/>
      </c>
      <c r="E208" s="330" t="str">
        <f>VLOOKUP($A208,'Institution Evaluation'!$A$56:$K$345,5,0)&amp;""</f>
        <v/>
      </c>
      <c r="F208" s="188" t="str">
        <f>VLOOKUP($A208,'Institution Evaluation'!$A$56:$K$345,6,0)&amp;""</f>
        <v/>
      </c>
      <c r="G208" s="30" t="str">
        <f>VLOOKUP($A208,'Institution Evaluation'!$A$56:$K$345,7,0)&amp;""</f>
        <v>Yes</v>
      </c>
      <c r="H208" s="185" t="str">
        <f>VLOOKUP($A208,'Institution Evaluation'!$A$56:$K$345,8,0)&amp;""</f>
        <v/>
      </c>
      <c r="I208" s="45" t="str">
        <f>VLOOKUP($A208,'Institution Evaluation'!$A$56:$K$345,9,0)&amp;""</f>
        <v>Standard Importance</v>
      </c>
      <c r="J208" s="186" t="str">
        <f>VLOOKUP($A208,'Institution Evaluation'!$A$56:$K$345,10,0)&amp;""</f>
        <v/>
      </c>
      <c r="K208" s="48" t="str">
        <f>IF(VLOOKUP($A208,'Institution Evaluation'!$A$56:$K$345,10,0)=TRUE,'Auto Responses'!$J$3,"")</f>
        <v/>
      </c>
    </row>
    <row r="209" spans="1:11" ht="28.5" x14ac:dyDescent="0.2">
      <c r="A209" s="19" t="s">
        <v>562</v>
      </c>
      <c r="B209" s="18" t="str">
        <f>VLOOKUP($A209,Questions!$A$2:$X$333,2,0)</f>
        <v>Do you either have an internal incident response team or retain an external team?</v>
      </c>
      <c r="C209" s="45" t="str">
        <f>VLOOKUP($A209,'Institution Evaluation'!$A$56:$K$345,3,0)&amp;""</f>
        <v/>
      </c>
      <c r="D209" s="45" t="str">
        <f>VLOOKUP($A209,'Institution Evaluation'!$A$56:$K$345,4,0)&amp;""</f>
        <v/>
      </c>
      <c r="E209" s="330" t="str">
        <f>VLOOKUP($A209,'Institution Evaluation'!$A$56:$K$345,5,0)&amp;""</f>
        <v/>
      </c>
      <c r="F209" s="188" t="str">
        <f>VLOOKUP($A209,'Institution Evaluation'!$A$56:$K$345,6,0)&amp;""</f>
        <v/>
      </c>
      <c r="G209" s="30" t="str">
        <f>VLOOKUP($A209,'Institution Evaluation'!$A$56:$K$345,7,0)&amp;""</f>
        <v>Yes</v>
      </c>
      <c r="H209" s="185" t="str">
        <f>VLOOKUP($A209,'Institution Evaluation'!$A$56:$K$345,8,0)&amp;""</f>
        <v/>
      </c>
      <c r="I209" s="45" t="str">
        <f>VLOOKUP($A209,'Institution Evaluation'!$A$56:$K$345,9,0)&amp;""</f>
        <v>Minor Importance</v>
      </c>
      <c r="J209" s="186" t="str">
        <f>VLOOKUP($A209,'Institution Evaluation'!$A$56:$K$345,10,0)&amp;""</f>
        <v/>
      </c>
      <c r="K209" s="48" t="str">
        <f>IF(VLOOKUP($A209,'Institution Evaluation'!$A$56:$K$345,10,0)=TRUE,'Auto Responses'!$J$3,"")</f>
        <v/>
      </c>
    </row>
    <row r="210" spans="1:11" ht="28.5" x14ac:dyDescent="0.2">
      <c r="A210" s="19" t="s">
        <v>566</v>
      </c>
      <c r="B210" s="18" t="str">
        <f>VLOOKUP($A210,Questions!$A$2:$X$333,2,0)</f>
        <v>Do you have the capability to respond to incidents on a 24 x 7 x 365 basis?</v>
      </c>
      <c r="C210" s="45" t="str">
        <f>VLOOKUP($A210,'Institution Evaluation'!$A$56:$K$345,3,0)&amp;""</f>
        <v/>
      </c>
      <c r="D210" s="45" t="str">
        <f>VLOOKUP($A210,'Institution Evaluation'!$A$56:$K$345,4,0)&amp;""</f>
        <v/>
      </c>
      <c r="E210" s="330" t="str">
        <f>VLOOKUP($A210,'Institution Evaluation'!$A$56:$K$345,5,0)&amp;""</f>
        <v/>
      </c>
      <c r="F210" s="188" t="str">
        <f>VLOOKUP($A210,'Institution Evaluation'!$A$56:$K$345,6,0)&amp;""</f>
        <v/>
      </c>
      <c r="G210" s="30" t="str">
        <f>VLOOKUP($A210,'Institution Evaluation'!$A$56:$K$345,7,0)&amp;""</f>
        <v>Yes</v>
      </c>
      <c r="H210" s="185" t="str">
        <f>VLOOKUP($A210,'Institution Evaluation'!$A$56:$K$345,8,0)&amp;""</f>
        <v/>
      </c>
      <c r="I210" s="45" t="str">
        <f>VLOOKUP($A210,'Institution Evaluation'!$A$56:$K$345,9,0)&amp;""</f>
        <v>Minor Importance</v>
      </c>
      <c r="J210" s="186" t="str">
        <f>VLOOKUP($A210,'Institution Evaluation'!$A$56:$K$345,10,0)&amp;""</f>
        <v/>
      </c>
      <c r="K210" s="48" t="str">
        <f>IF(VLOOKUP($A210,'Institution Evaluation'!$A$56:$K$345,10,0)=TRUE,'Auto Responses'!$J$3,"")</f>
        <v/>
      </c>
    </row>
    <row r="211" spans="1:11" ht="42.75" x14ac:dyDescent="0.2">
      <c r="A211" s="19" t="s">
        <v>570</v>
      </c>
      <c r="B211" s="18" t="str">
        <f>VLOOKUP($A211,Questions!$A$2:$X$333,2,0)</f>
        <v>Do you carry cyber-risk insurance to protect against unforeseen service outages, data that is lost or stolen, and security incidents?</v>
      </c>
      <c r="C211" s="45" t="str">
        <f>VLOOKUP($A211,'Institution Evaluation'!$A$56:$K$345,3,0)&amp;""</f>
        <v/>
      </c>
      <c r="D211" s="45" t="str">
        <f>VLOOKUP($A211,'Institution Evaluation'!$A$56:$K$345,4,0)&amp;""</f>
        <v/>
      </c>
      <c r="E211" s="330" t="str">
        <f>VLOOKUP($A211,'Institution Evaluation'!$A$56:$K$345,5,0)&amp;""</f>
        <v/>
      </c>
      <c r="F211" s="188" t="str">
        <f>VLOOKUP($A211,'Institution Evaluation'!$A$56:$K$345,6,0)&amp;""</f>
        <v/>
      </c>
      <c r="G211" s="30" t="str">
        <f>VLOOKUP($A211,'Institution Evaluation'!$A$56:$K$345,7,0)&amp;""</f>
        <v>Yes</v>
      </c>
      <c r="H211" s="185" t="str">
        <f>VLOOKUP($A211,'Institution Evaluation'!$A$56:$K$345,8,0)&amp;""</f>
        <v/>
      </c>
      <c r="I211" s="45" t="str">
        <f>VLOOKUP($A211,'Institution Evaluation'!$A$56:$K$345,9,0)&amp;""</f>
        <v>Minor Importance</v>
      </c>
      <c r="J211" s="186" t="str">
        <f>VLOOKUP($A211,'Institution Evaluation'!$A$56:$K$345,10,0)&amp;""</f>
        <v/>
      </c>
      <c r="K211" s="48" t="str">
        <f>IF(VLOOKUP($A211,'Institution Evaluation'!$A$56:$K$345,10,0)=TRUE,'Auto Responses'!$J$3,"")</f>
        <v/>
      </c>
    </row>
    <row r="212" spans="1:11" s="1" customFormat="1" ht="18" x14ac:dyDescent="0.2">
      <c r="A212" s="63" t="str">
        <f>VLOOKUP(LEFT($A213,4),'Auto Responses'!$N$4:$O$38,2,0)&amp;""</f>
        <v xml:space="preserve"> Vulnerability Management</v>
      </c>
      <c r="B212" s="22"/>
      <c r="C212" s="31"/>
      <c r="D212" s="31"/>
      <c r="E212" s="331"/>
      <c r="F212" s="132" t="s">
        <v>1030</v>
      </c>
      <c r="G212" s="335" t="s">
        <v>869</v>
      </c>
      <c r="H212" s="335" t="s">
        <v>871</v>
      </c>
      <c r="I212" s="335" t="s">
        <v>19</v>
      </c>
      <c r="J212" s="335" t="s">
        <v>856</v>
      </c>
      <c r="K212" s="31"/>
    </row>
    <row r="213" spans="1:11" ht="42.75" x14ac:dyDescent="0.2">
      <c r="A213" s="19" t="s">
        <v>572</v>
      </c>
      <c r="B213" s="18" t="str">
        <f>VLOOKUP($A213,Questions!$A$2:$X$333,2,0)</f>
        <v>Are your systems and applications scanned with an authenticated user account for vulnerabilities (that are remediated) prior to new releases?*</v>
      </c>
      <c r="C213" s="45" t="str">
        <f>VLOOKUP($A213,'Institution Evaluation'!$A$56:$K$345,3,0)&amp;""</f>
        <v/>
      </c>
      <c r="D213" s="45" t="str">
        <f>VLOOKUP($A213,'Institution Evaluation'!$A$56:$K$345,4,0)&amp;""</f>
        <v/>
      </c>
      <c r="E213" s="330" t="str">
        <f>VLOOKUP($A213,'Institution Evaluation'!$A$56:$K$345,5,0)&amp;""</f>
        <v/>
      </c>
      <c r="F213" s="188" t="str">
        <f>VLOOKUP($A213,'Institution Evaluation'!$A$56:$K$345,6,0)&amp;""</f>
        <v/>
      </c>
      <c r="G213" s="30" t="str">
        <f>VLOOKUP($A213,'Institution Evaluation'!$A$56:$K$345,7,0)&amp;""</f>
        <v>Yes</v>
      </c>
      <c r="H213" s="185" t="str">
        <f>VLOOKUP($A213,'Institution Evaluation'!$A$56:$K$345,8,0)&amp;""</f>
        <v/>
      </c>
      <c r="I213" s="45" t="str">
        <f>VLOOKUP($A213,'Institution Evaluation'!$A$56:$K$345,9,0)&amp;""</f>
        <v>Critical Importance</v>
      </c>
      <c r="J213" s="186" t="str">
        <f>VLOOKUP($A213,'Institution Evaluation'!$A$56:$K$345,10,0)&amp;""</f>
        <v/>
      </c>
      <c r="K213" s="48" t="str">
        <f>IF(VLOOKUP($A213,'Institution Evaluation'!$A$56:$K$345,10,0)=TRUE,'Auto Responses'!$J$3,"")</f>
        <v/>
      </c>
    </row>
    <row r="214" spans="1:11" ht="28.5" x14ac:dyDescent="0.2">
      <c r="A214" s="19" t="s">
        <v>575</v>
      </c>
      <c r="B214" s="18" t="str">
        <f>VLOOKUP($A214,Questions!$A$2:$X$333,2,0)</f>
        <v>Will you provide results of application and system vulnerability scans to the institution?*</v>
      </c>
      <c r="C214" s="45" t="str">
        <f>VLOOKUP($A214,'Institution Evaluation'!$A$56:$K$345,3,0)&amp;""</f>
        <v/>
      </c>
      <c r="D214" s="45" t="str">
        <f>VLOOKUP($A214,'Institution Evaluation'!$A$56:$K$345,4,0)&amp;""</f>
        <v/>
      </c>
      <c r="E214" s="330" t="str">
        <f>VLOOKUP($A214,'Institution Evaluation'!$A$56:$K$345,5,0)&amp;""</f>
        <v/>
      </c>
      <c r="F214" s="188" t="str">
        <f>VLOOKUP($A214,'Institution Evaluation'!$A$56:$K$345,6,0)&amp;""</f>
        <v/>
      </c>
      <c r="G214" s="30" t="str">
        <f>VLOOKUP($A214,'Institution Evaluation'!$A$56:$K$345,7,0)&amp;""</f>
        <v>Yes</v>
      </c>
      <c r="H214" s="185" t="str">
        <f>VLOOKUP($A214,'Institution Evaluation'!$A$56:$K$345,8,0)&amp;""</f>
        <v/>
      </c>
      <c r="I214" s="45" t="str">
        <f>VLOOKUP($A214,'Institution Evaluation'!$A$56:$K$345,9,0)&amp;""</f>
        <v>Critical Importance</v>
      </c>
      <c r="J214" s="186" t="str">
        <f>VLOOKUP($A214,'Institution Evaluation'!$A$56:$K$345,10,0)&amp;""</f>
        <v/>
      </c>
      <c r="K214" s="48" t="str">
        <f>IF(VLOOKUP($A214,'Institution Evaluation'!$A$56:$K$345,10,0)=TRUE,'Auto Responses'!$J$3,"")</f>
        <v/>
      </c>
    </row>
    <row r="215" spans="1:11" ht="28.5" x14ac:dyDescent="0.2">
      <c r="A215" s="19" t="s">
        <v>582</v>
      </c>
      <c r="B215" s="18" t="str">
        <f>VLOOKUP($A215,Questions!$A$2:$X$333,2,0)</f>
        <v>Have your systems and applications had a third-party security assessment completed in the last year?</v>
      </c>
      <c r="C215" s="45" t="str">
        <f>VLOOKUP($A215,'Institution Evaluation'!$A$56:$K$345,3,0)&amp;""</f>
        <v/>
      </c>
      <c r="D215" s="45" t="str">
        <f>VLOOKUP($A215,'Institution Evaluation'!$A$56:$K$345,4,0)&amp;""</f>
        <v/>
      </c>
      <c r="E215" s="330" t="str">
        <f>VLOOKUP($A215,'Institution Evaluation'!$A$56:$K$345,5,0)&amp;""</f>
        <v/>
      </c>
      <c r="F215" s="188" t="str">
        <f>VLOOKUP($A215,'Institution Evaluation'!$A$56:$K$345,6,0)&amp;""</f>
        <v/>
      </c>
      <c r="G215" s="30" t="str">
        <f>VLOOKUP($A215,'Institution Evaluation'!$A$56:$K$345,7,0)&amp;""</f>
        <v>Yes</v>
      </c>
      <c r="H215" s="185" t="str">
        <f>VLOOKUP($A215,'Institution Evaluation'!$A$56:$K$345,8,0)&amp;""</f>
        <v/>
      </c>
      <c r="I215" s="45" t="str">
        <f>VLOOKUP($A215,'Institution Evaluation'!$A$56:$K$345,9,0)&amp;""</f>
        <v>Standard Importance</v>
      </c>
      <c r="J215" s="186" t="str">
        <f>VLOOKUP($A215,'Institution Evaluation'!$A$56:$K$345,10,0)&amp;""</f>
        <v/>
      </c>
      <c r="K215" s="48" t="str">
        <f>IF(VLOOKUP($A215,'Institution Evaluation'!$A$56:$K$345,10,0)=TRUE,'Auto Responses'!$J$3,"")</f>
        <v/>
      </c>
    </row>
    <row r="216" spans="1:11" ht="28.5" x14ac:dyDescent="0.2">
      <c r="A216" s="19" t="s">
        <v>587</v>
      </c>
      <c r="B216" s="18" t="str">
        <f>VLOOKUP($A216,Questions!$A$2:$X$333,2,0)</f>
        <v>Are your systems and applications regularly scanned externally for vulnerabilities?</v>
      </c>
      <c r="C216" s="45" t="str">
        <f>VLOOKUP($A216,'Institution Evaluation'!$A$56:$K$345,3,0)&amp;""</f>
        <v/>
      </c>
      <c r="D216" s="45" t="str">
        <f>VLOOKUP($A216,'Institution Evaluation'!$A$56:$K$345,4,0)&amp;""</f>
        <v/>
      </c>
      <c r="E216" s="330" t="str">
        <f>VLOOKUP($A216,'Institution Evaluation'!$A$56:$K$345,5,0)&amp;""</f>
        <v/>
      </c>
      <c r="F216" s="188" t="str">
        <f>VLOOKUP($A216,'Institution Evaluation'!$A$56:$K$345,6,0)&amp;""</f>
        <v/>
      </c>
      <c r="G216" s="30" t="str">
        <f>VLOOKUP($A216,'Institution Evaluation'!$A$56:$K$345,7,0)&amp;""</f>
        <v>Yes</v>
      </c>
      <c r="H216" s="185" t="str">
        <f>VLOOKUP($A216,'Institution Evaluation'!$A$56:$K$345,8,0)&amp;""</f>
        <v/>
      </c>
      <c r="I216" s="45" t="str">
        <f>VLOOKUP($A216,'Institution Evaluation'!$A$56:$K$345,9,0)&amp;""</f>
        <v>Minor Importance</v>
      </c>
      <c r="J216" s="186" t="str">
        <f>VLOOKUP($A216,'Institution Evaluation'!$A$56:$K$345,10,0)&amp;""</f>
        <v/>
      </c>
      <c r="K216" s="48" t="str">
        <f>IF(VLOOKUP($A216,'Institution Evaluation'!$A$56:$K$345,10,0)=TRUE,'Auto Responses'!$J$3,"")</f>
        <v/>
      </c>
    </row>
    <row r="217" spans="1:11" s="1" customFormat="1" ht="18" x14ac:dyDescent="0.2">
      <c r="A217" s="63" t="str">
        <f>VLOOKUP(LEFT($A218,4),'Auto Responses'!$N$4:$O$38,2,0)&amp;""</f>
        <v xml:space="preserve">HIPAA Compliance </v>
      </c>
      <c r="B217" s="22"/>
      <c r="C217" s="31"/>
      <c r="D217" s="31"/>
      <c r="E217" s="331"/>
      <c r="F217" s="132" t="s">
        <v>1030</v>
      </c>
      <c r="G217" s="335" t="s">
        <v>869</v>
      </c>
      <c r="H217" s="335" t="s">
        <v>871</v>
      </c>
      <c r="I217" s="335" t="s">
        <v>19</v>
      </c>
      <c r="J217" s="335" t="s">
        <v>856</v>
      </c>
      <c r="K217" s="31"/>
    </row>
    <row r="218" spans="1:11" ht="60" x14ac:dyDescent="0.2">
      <c r="A218" s="19" t="s">
        <v>590</v>
      </c>
      <c r="B218" s="18" t="str">
        <f>VLOOKUP($A218,Questions!$A$2:$X$333,2,0)</f>
        <v>Do your workforce members receive regular training related to the Health Insurance Portability and Accountability Act (HIPAA) Privacy and Security Rules and the HITECH Act?*</v>
      </c>
      <c r="C218" s="45" t="str">
        <f>VLOOKUP($A218,'Institution Evaluation'!$A$56:$K$345,3,0)&amp;""</f>
        <v/>
      </c>
      <c r="D218" s="45" t="str">
        <f>VLOOKUP($A218,'Institution Evaluation'!$A$56:$K$345,4,0)&amp;""</f>
        <v/>
      </c>
      <c r="E218" s="330" t="str">
        <f>VLOOKUP($A218,'Institution Evaluation'!$A$56:$K$345,5,0)&amp;""</f>
        <v>Refer to HIPAA regulations documentation for supplemental guidance in this section.</v>
      </c>
      <c r="F218" s="188" t="str">
        <f>VLOOKUP($A218,'Institution Evaluation'!$A$56:$K$345,6,0)&amp;""</f>
        <v/>
      </c>
      <c r="G218" s="30" t="str">
        <f>VLOOKUP($A218,'Institution Evaluation'!$A$56:$K$345,7,0)&amp;""</f>
        <v>Yes</v>
      </c>
      <c r="H218" s="185" t="str">
        <f>VLOOKUP($A218,'Institution Evaluation'!$A$56:$K$345,8,0)&amp;""</f>
        <v/>
      </c>
      <c r="I218" s="45" t="str">
        <f>VLOOKUP($A218,'Institution Evaluation'!$A$56:$K$345,9,0)&amp;""</f>
        <v>Critical Importance</v>
      </c>
      <c r="J218" s="186" t="str">
        <f>VLOOKUP($A218,'Institution Evaluation'!$A$56:$K$345,10,0)&amp;""</f>
        <v/>
      </c>
      <c r="K218" s="48" t="str">
        <f>IF(VLOOKUP($A218,'Institution Evaluation'!$A$56:$K$345,10,0)=TRUE,'Auto Responses'!$J$3,"")</f>
        <v/>
      </c>
    </row>
    <row r="219" spans="1:11" ht="60" x14ac:dyDescent="0.2">
      <c r="A219" s="19" t="s">
        <v>595</v>
      </c>
      <c r="B219" s="18" t="str">
        <f>VLOOKUP($A219,Questions!$A$2:$X$333,2,0)</f>
        <v>Have you identified areas of risk?*</v>
      </c>
      <c r="C219" s="45" t="str">
        <f>VLOOKUP($A219,'Institution Evaluation'!$A$56:$K$345,3,0)&amp;""</f>
        <v/>
      </c>
      <c r="D219" s="45" t="str">
        <f>VLOOKUP($A219,'Institution Evaluation'!$A$56:$K$345,4,0)&amp;""</f>
        <v/>
      </c>
      <c r="E219" s="330" t="str">
        <f>VLOOKUP($A219,'Institution Evaluation'!$A$56:$K$345,5,0)&amp;""</f>
        <v>Refer to HIPAA regulations documentation for supplemental guidance in this section.</v>
      </c>
      <c r="F219" s="188" t="str">
        <f>VLOOKUP($A219,'Institution Evaluation'!$A$56:$K$345,6,0)&amp;""</f>
        <v/>
      </c>
      <c r="G219" s="30" t="str">
        <f>VLOOKUP($A219,'Institution Evaluation'!$A$56:$K$345,7,0)&amp;""</f>
        <v>Yes</v>
      </c>
      <c r="H219" s="185" t="str">
        <f>VLOOKUP($A219,'Institution Evaluation'!$A$56:$K$345,8,0)&amp;""</f>
        <v/>
      </c>
      <c r="I219" s="45" t="str">
        <f>VLOOKUP($A219,'Institution Evaluation'!$A$56:$K$345,9,0)&amp;""</f>
        <v>Critical Importance</v>
      </c>
      <c r="J219" s="186" t="str">
        <f>VLOOKUP($A219,'Institution Evaluation'!$A$56:$K$345,10,0)&amp;""</f>
        <v/>
      </c>
      <c r="K219" s="48" t="str">
        <f>IF(VLOOKUP($A219,'Institution Evaluation'!$A$56:$K$345,10,0)=TRUE,'Auto Responses'!$J$3,"")</f>
        <v/>
      </c>
    </row>
    <row r="220" spans="1:11" ht="60" x14ac:dyDescent="0.2">
      <c r="A220" s="19" t="s">
        <v>597</v>
      </c>
      <c r="B220" s="18" t="str">
        <f>VLOOKUP($A220,Questions!$A$2:$X$333,2,0)</f>
        <v>Have the relevant policies/plans been tested?*</v>
      </c>
      <c r="C220" s="45" t="str">
        <f>VLOOKUP($A220,'Institution Evaluation'!$A$56:$K$345,3,0)&amp;""</f>
        <v/>
      </c>
      <c r="D220" s="45" t="str">
        <f>VLOOKUP($A220,'Institution Evaluation'!$A$56:$K$345,4,0)&amp;""</f>
        <v/>
      </c>
      <c r="E220" s="330" t="str">
        <f>VLOOKUP($A220,'Institution Evaluation'!$A$56:$K$345,5,0)&amp;""</f>
        <v>Refer to HIPAA regulations documentation for supplemental guidance in this section.</v>
      </c>
      <c r="F220" s="188" t="str">
        <f>VLOOKUP($A220,'Institution Evaluation'!$A$56:$K$345,6,0)&amp;""</f>
        <v/>
      </c>
      <c r="G220" s="30" t="str">
        <f>VLOOKUP($A220,'Institution Evaluation'!$A$56:$K$345,7,0)&amp;""</f>
        <v>Yes</v>
      </c>
      <c r="H220" s="185" t="str">
        <f>VLOOKUP($A220,'Institution Evaluation'!$A$56:$K$345,8,0)&amp;""</f>
        <v/>
      </c>
      <c r="I220" s="45" t="str">
        <f>VLOOKUP($A220,'Institution Evaluation'!$A$56:$K$345,9,0)&amp;""</f>
        <v>Critical Importance</v>
      </c>
      <c r="J220" s="186" t="str">
        <f>VLOOKUP($A220,'Institution Evaluation'!$A$56:$K$345,10,0)&amp;""</f>
        <v/>
      </c>
      <c r="K220" s="48" t="str">
        <f>IF(VLOOKUP($A220,'Institution Evaluation'!$A$56:$K$345,10,0)=TRUE,'Auto Responses'!$J$3,"")</f>
        <v/>
      </c>
    </row>
    <row r="221" spans="1:11" ht="60" x14ac:dyDescent="0.2">
      <c r="A221" s="19" t="s">
        <v>599</v>
      </c>
      <c r="B221" s="18" t="str">
        <f>VLOOKUP($A221,Questions!$A$2:$X$333,2,0)</f>
        <v>Have you entered into a Business Associate Agreements with all subcontractors who may have access to protected health information (PHI)?*</v>
      </c>
      <c r="C221" s="45" t="str">
        <f>VLOOKUP($A221,'Institution Evaluation'!$A$56:$K$345,3,0)&amp;""</f>
        <v/>
      </c>
      <c r="D221" s="45" t="str">
        <f>VLOOKUP($A221,'Institution Evaluation'!$A$56:$K$345,4,0)&amp;""</f>
        <v/>
      </c>
      <c r="E221" s="330" t="str">
        <f>VLOOKUP($A221,'Institution Evaluation'!$A$56:$K$345,5,0)&amp;""</f>
        <v>Refer to HIPAA regulations documentation for supplemental guidance in this section.</v>
      </c>
      <c r="F221" s="188" t="str">
        <f>VLOOKUP($A221,'Institution Evaluation'!$A$56:$K$345,6,0)&amp;""</f>
        <v/>
      </c>
      <c r="G221" s="30" t="str">
        <f>VLOOKUP($A221,'Institution Evaluation'!$A$56:$K$345,7,0)&amp;""</f>
        <v>Yes</v>
      </c>
      <c r="H221" s="185" t="str">
        <f>VLOOKUP($A221,'Institution Evaluation'!$A$56:$K$345,8,0)&amp;""</f>
        <v/>
      </c>
      <c r="I221" s="45" t="str">
        <f>VLOOKUP($A221,'Institution Evaluation'!$A$56:$K$345,9,0)&amp;""</f>
        <v>Critical Importance</v>
      </c>
      <c r="J221" s="186" t="str">
        <f>VLOOKUP($A221,'Institution Evaluation'!$A$56:$K$345,10,0)&amp;""</f>
        <v/>
      </c>
      <c r="K221" s="48" t="str">
        <f>IF(VLOOKUP($A221,'Institution Evaluation'!$A$56:$K$345,10,0)=TRUE,'Auto Responses'!$J$3,"")</f>
        <v/>
      </c>
    </row>
    <row r="222" spans="1:11" ht="60" x14ac:dyDescent="0.2">
      <c r="A222" s="19" t="s">
        <v>601</v>
      </c>
      <c r="B222" s="18" t="str">
        <f>VLOOKUP($A222,Questions!$A$2:$X$333,2,0)</f>
        <v>Do you monitor or receive information regarding changes in HIPAA regulations?</v>
      </c>
      <c r="C222" s="45" t="str">
        <f>VLOOKUP($A222,'Institution Evaluation'!$A$56:$K$345,3,0)&amp;""</f>
        <v/>
      </c>
      <c r="D222" s="45" t="str">
        <f>VLOOKUP($A222,'Institution Evaluation'!$A$56:$K$345,4,0)&amp;""</f>
        <v/>
      </c>
      <c r="E222" s="330" t="str">
        <f>VLOOKUP($A222,'Institution Evaluation'!$A$56:$K$345,5,0)&amp;""</f>
        <v>Refer to HIPAA regulations documentation for supplemental guidance in this section.</v>
      </c>
      <c r="F222" s="188" t="str">
        <f>VLOOKUP($A222,'Institution Evaluation'!$A$56:$K$345,6,0)&amp;""</f>
        <v/>
      </c>
      <c r="G222" s="30" t="str">
        <f>VLOOKUP($A222,'Institution Evaluation'!$A$56:$K$345,7,0)&amp;""</f>
        <v>Yes</v>
      </c>
      <c r="H222" s="185" t="str">
        <f>VLOOKUP($A222,'Institution Evaluation'!$A$56:$K$345,8,0)&amp;""</f>
        <v/>
      </c>
      <c r="I222" s="45" t="str">
        <f>VLOOKUP($A222,'Institution Evaluation'!$A$56:$K$345,9,0)&amp;""</f>
        <v>Standard Importance</v>
      </c>
      <c r="J222" s="186" t="str">
        <f>VLOOKUP($A222,'Institution Evaluation'!$A$56:$K$345,10,0)&amp;""</f>
        <v/>
      </c>
      <c r="K222" s="48" t="str">
        <f>IF(VLOOKUP($A222,'Institution Evaluation'!$A$56:$K$345,10,0)=TRUE,'Auto Responses'!$J$3,"")</f>
        <v/>
      </c>
    </row>
    <row r="223" spans="1:11" ht="60" x14ac:dyDescent="0.2">
      <c r="A223" s="19" t="s">
        <v>602</v>
      </c>
      <c r="B223" s="18" t="str">
        <f>VLOOKUP($A223,Questions!$A$2:$X$333,2,0)</f>
        <v>Has your organization designated HIPAA Privacy and Security officers as required by the rules?</v>
      </c>
      <c r="C223" s="45" t="str">
        <f>VLOOKUP($A223,'Institution Evaluation'!$A$56:$K$345,3,0)&amp;""</f>
        <v/>
      </c>
      <c r="D223" s="45" t="str">
        <f>VLOOKUP($A223,'Institution Evaluation'!$A$56:$K$345,4,0)&amp;""</f>
        <v/>
      </c>
      <c r="E223" s="330" t="str">
        <f>VLOOKUP($A223,'Institution Evaluation'!$A$56:$K$345,5,0)&amp;""</f>
        <v>Refer to HIPAA regulations documentation for supplemental guidance in this section.</v>
      </c>
      <c r="F223" s="188" t="str">
        <f>VLOOKUP($A223,'Institution Evaluation'!$A$56:$K$345,6,0)&amp;""</f>
        <v/>
      </c>
      <c r="G223" s="30" t="str">
        <f>VLOOKUP($A223,'Institution Evaluation'!$A$56:$K$345,7,0)&amp;""</f>
        <v>Yes</v>
      </c>
      <c r="H223" s="185" t="str">
        <f>VLOOKUP($A223,'Institution Evaluation'!$A$56:$K$345,8,0)&amp;""</f>
        <v/>
      </c>
      <c r="I223" s="45" t="str">
        <f>VLOOKUP($A223,'Institution Evaluation'!$A$56:$K$345,9,0)&amp;""</f>
        <v>Standard Importance</v>
      </c>
      <c r="J223" s="186" t="str">
        <f>VLOOKUP($A223,'Institution Evaluation'!$A$56:$K$345,10,0)&amp;""</f>
        <v/>
      </c>
      <c r="K223" s="48" t="str">
        <f>IF(VLOOKUP($A223,'Institution Evaluation'!$A$56:$K$345,10,0)=TRUE,'Auto Responses'!$J$3,"")</f>
        <v/>
      </c>
    </row>
    <row r="224" spans="1:11" ht="60" x14ac:dyDescent="0.2">
      <c r="A224" s="19" t="s">
        <v>603</v>
      </c>
      <c r="B224" s="18" t="str">
        <f>VLOOKUP($A224,Questions!$A$2:$X$333,2,0)</f>
        <v>Do you comply with the requirements of the Health Information Technology for Economic and Clinical Health Act (HITECH)?</v>
      </c>
      <c r="C224" s="45" t="str">
        <f>VLOOKUP($A224,'Institution Evaluation'!$A$56:$K$345,3,0)&amp;""</f>
        <v/>
      </c>
      <c r="D224" s="45" t="str">
        <f>VLOOKUP($A224,'Institution Evaluation'!$A$56:$K$345,4,0)&amp;""</f>
        <v/>
      </c>
      <c r="E224" s="330" t="str">
        <f>VLOOKUP($A224,'Institution Evaluation'!$A$56:$K$345,5,0)&amp;""</f>
        <v>Refer to HIPAA regulations documentation for supplemental guidance in this section.</v>
      </c>
      <c r="F224" s="188" t="str">
        <f>VLOOKUP($A224,'Institution Evaluation'!$A$56:$K$345,6,0)&amp;""</f>
        <v/>
      </c>
      <c r="G224" s="30" t="str">
        <f>VLOOKUP($A224,'Institution Evaluation'!$A$56:$K$345,7,0)&amp;""</f>
        <v>Yes</v>
      </c>
      <c r="H224" s="185" t="str">
        <f>VLOOKUP($A224,'Institution Evaluation'!$A$56:$K$345,8,0)&amp;""</f>
        <v/>
      </c>
      <c r="I224" s="45" t="str">
        <f>VLOOKUP($A224,'Institution Evaluation'!$A$56:$K$345,9,0)&amp;""</f>
        <v>Standard Importance</v>
      </c>
      <c r="J224" s="186" t="str">
        <f>VLOOKUP($A224,'Institution Evaluation'!$A$56:$K$345,10,0)&amp;""</f>
        <v/>
      </c>
      <c r="K224" s="48" t="str">
        <f>IF(VLOOKUP($A224,'Institution Evaluation'!$A$56:$K$345,10,0)=TRUE,'Auto Responses'!$J$3,"")</f>
        <v/>
      </c>
    </row>
    <row r="225" spans="1:11" ht="60" x14ac:dyDescent="0.2">
      <c r="A225" s="19" t="s">
        <v>605</v>
      </c>
      <c r="B225" s="18" t="str">
        <f>VLOOKUP($A225,Questions!$A$2:$X$333,2,0)</f>
        <v>Have you conducted a risk analysis as required under the HIPAA Security Rule?</v>
      </c>
      <c r="C225" s="45" t="str">
        <f>VLOOKUP($A225,'Institution Evaluation'!$A$56:$K$345,3,0)&amp;""</f>
        <v/>
      </c>
      <c r="D225" s="45" t="str">
        <f>VLOOKUP($A225,'Institution Evaluation'!$A$56:$K$345,4,0)&amp;""</f>
        <v/>
      </c>
      <c r="E225" s="330" t="str">
        <f>VLOOKUP($A225,'Institution Evaluation'!$A$56:$K$345,5,0)&amp;""</f>
        <v>Refer to HIPAA regulations documentation for supplemental guidance in this section.</v>
      </c>
      <c r="F225" s="188" t="str">
        <f>VLOOKUP($A225,'Institution Evaluation'!$A$56:$K$345,6,0)&amp;""</f>
        <v/>
      </c>
      <c r="G225" s="30" t="str">
        <f>VLOOKUP($A225,'Institution Evaluation'!$A$56:$K$345,7,0)&amp;""</f>
        <v>Yes</v>
      </c>
      <c r="H225" s="185" t="str">
        <f>VLOOKUP($A225,'Institution Evaluation'!$A$56:$K$345,8,0)&amp;""</f>
        <v/>
      </c>
      <c r="I225" s="45" t="str">
        <f>VLOOKUP($A225,'Institution Evaluation'!$A$56:$K$345,9,0)&amp;""</f>
        <v>Standard Importance</v>
      </c>
      <c r="J225" s="186" t="str">
        <f>VLOOKUP($A225,'Institution Evaluation'!$A$56:$K$345,10,0)&amp;""</f>
        <v/>
      </c>
      <c r="K225" s="48" t="str">
        <f>IF(VLOOKUP($A225,'Institution Evaluation'!$A$56:$K$345,10,0)=TRUE,'Auto Responses'!$J$3,"")</f>
        <v/>
      </c>
    </row>
    <row r="226" spans="1:11" ht="60" x14ac:dyDescent="0.2">
      <c r="A226" s="19" t="s">
        <v>607</v>
      </c>
      <c r="B226" s="18" t="str">
        <f>VLOOKUP($A226,Questions!$A$2:$X$333,2,0)</f>
        <v>Have you taken actions to mitigate the identified risks?</v>
      </c>
      <c r="C226" s="45" t="str">
        <f>VLOOKUP($A226,'Institution Evaluation'!$A$56:$K$345,3,0)&amp;""</f>
        <v/>
      </c>
      <c r="D226" s="45" t="str">
        <f>VLOOKUP($A226,'Institution Evaluation'!$A$56:$K$345,4,0)&amp;""</f>
        <v/>
      </c>
      <c r="E226" s="330" t="str">
        <f>VLOOKUP($A226,'Institution Evaluation'!$A$56:$K$345,5,0)&amp;""</f>
        <v>Refer to HIPAA regulations documentation for supplemental guidance in this section.</v>
      </c>
      <c r="F226" s="188" t="str">
        <f>VLOOKUP($A226,'Institution Evaluation'!$A$56:$K$345,6,0)&amp;""</f>
        <v/>
      </c>
      <c r="G226" s="30" t="str">
        <f>VLOOKUP($A226,'Institution Evaluation'!$A$56:$K$345,7,0)&amp;""</f>
        <v>Yes</v>
      </c>
      <c r="H226" s="185" t="str">
        <f>VLOOKUP($A226,'Institution Evaluation'!$A$56:$K$345,8,0)&amp;""</f>
        <v/>
      </c>
      <c r="I226" s="45" t="str">
        <f>VLOOKUP($A226,'Institution Evaluation'!$A$56:$K$345,9,0)&amp;""</f>
        <v>Standard Importance</v>
      </c>
      <c r="J226" s="186" t="str">
        <f>VLOOKUP($A226,'Institution Evaluation'!$A$56:$K$345,10,0)&amp;""</f>
        <v/>
      </c>
      <c r="K226" s="48" t="str">
        <f>IF(VLOOKUP($A226,'Institution Evaluation'!$A$56:$K$345,10,0)=TRUE,'Auto Responses'!$J$3,"")</f>
        <v/>
      </c>
    </row>
    <row r="227" spans="1:11" ht="60" x14ac:dyDescent="0.2">
      <c r="A227" s="19" t="s">
        <v>609</v>
      </c>
      <c r="B227" s="18" t="str">
        <f>VLOOKUP($A227,Questions!$A$2:$X$333,2,0)</f>
        <v>Does your application require user and system administrator password changes at a frequency no greater than 90 days?</v>
      </c>
      <c r="C227" s="45" t="str">
        <f>VLOOKUP($A227,'Institution Evaluation'!$A$56:$K$345,3,0)&amp;""</f>
        <v/>
      </c>
      <c r="D227" s="45" t="str">
        <f>VLOOKUP($A227,'Institution Evaluation'!$A$56:$K$345,4,0)&amp;""</f>
        <v/>
      </c>
      <c r="E227" s="330" t="str">
        <f>VLOOKUP($A227,'Institution Evaluation'!$A$56:$K$345,5,0)&amp;""</f>
        <v>Refer to HIPAA regulations documentation for supplemental guidance in this section.</v>
      </c>
      <c r="F227" s="188" t="str">
        <f>VLOOKUP($A227,'Institution Evaluation'!$A$56:$K$345,6,0)&amp;""</f>
        <v/>
      </c>
      <c r="G227" s="30" t="str">
        <f>VLOOKUP($A227,'Institution Evaluation'!$A$56:$K$345,7,0)&amp;""</f>
        <v>Yes</v>
      </c>
      <c r="H227" s="185" t="str">
        <f>VLOOKUP($A227,'Institution Evaluation'!$A$56:$K$345,8,0)&amp;""</f>
        <v/>
      </c>
      <c r="I227" s="45" t="str">
        <f>VLOOKUP($A227,'Institution Evaluation'!$A$56:$K$345,9,0)&amp;""</f>
        <v>Standard Importance</v>
      </c>
      <c r="J227" s="186" t="str">
        <f>VLOOKUP($A227,'Institution Evaluation'!$A$56:$K$345,10,0)&amp;""</f>
        <v/>
      </c>
      <c r="K227" s="48" t="str">
        <f>IF(VLOOKUP($A227,'Institution Evaluation'!$A$56:$K$345,10,0)=TRUE,'Auto Responses'!$J$3,"")</f>
        <v/>
      </c>
    </row>
    <row r="228" spans="1:11" ht="60" x14ac:dyDescent="0.2">
      <c r="A228" s="19" t="s">
        <v>611</v>
      </c>
      <c r="B228" s="18" t="str">
        <f>VLOOKUP($A228,Questions!$A$2:$X$333,2,0)</f>
        <v>Does your application require users to set their own password after an administrator reset or on first use of the account?</v>
      </c>
      <c r="C228" s="45" t="str">
        <f>VLOOKUP($A228,'Institution Evaluation'!$A$56:$K$345,3,0)&amp;""</f>
        <v/>
      </c>
      <c r="D228" s="45" t="str">
        <f>VLOOKUP($A228,'Institution Evaluation'!$A$56:$K$345,4,0)&amp;""</f>
        <v/>
      </c>
      <c r="E228" s="330" t="str">
        <f>VLOOKUP($A228,'Institution Evaluation'!$A$56:$K$345,5,0)&amp;""</f>
        <v>Refer to HIPAA regulations documentation for supplemental guidance in this section.</v>
      </c>
      <c r="F228" s="188" t="str">
        <f>VLOOKUP($A228,'Institution Evaluation'!$A$56:$K$345,6,0)&amp;""</f>
        <v/>
      </c>
      <c r="G228" s="30" t="str">
        <f>VLOOKUP($A228,'Institution Evaluation'!$A$56:$K$345,7,0)&amp;""</f>
        <v>Yes</v>
      </c>
      <c r="H228" s="185" t="str">
        <f>VLOOKUP($A228,'Institution Evaluation'!$A$56:$K$345,8,0)&amp;""</f>
        <v/>
      </c>
      <c r="I228" s="45" t="str">
        <f>VLOOKUP($A228,'Institution Evaluation'!$A$56:$K$345,9,0)&amp;""</f>
        <v>Standard Importance</v>
      </c>
      <c r="J228" s="186" t="str">
        <f>VLOOKUP($A228,'Institution Evaluation'!$A$56:$K$345,10,0)&amp;""</f>
        <v/>
      </c>
      <c r="K228" s="48" t="str">
        <f>IF(VLOOKUP($A228,'Institution Evaluation'!$A$56:$K$345,10,0)=TRUE,'Auto Responses'!$J$3,"")</f>
        <v/>
      </c>
    </row>
    <row r="229" spans="1:11" ht="60" x14ac:dyDescent="0.2">
      <c r="A229" s="19" t="s">
        <v>613</v>
      </c>
      <c r="B229" s="18" t="str">
        <f>VLOOKUP($A229,Questions!$A$2:$X$333,2,0)</f>
        <v>Does your application lock out an account after a number of failed login attempts?</v>
      </c>
      <c r="C229" s="45" t="str">
        <f>VLOOKUP($A229,'Institution Evaluation'!$A$56:$K$345,3,0)&amp;""</f>
        <v/>
      </c>
      <c r="D229" s="45" t="str">
        <f>VLOOKUP($A229,'Institution Evaluation'!$A$56:$K$345,4,0)&amp;""</f>
        <v/>
      </c>
      <c r="E229" s="330" t="str">
        <f>VLOOKUP($A229,'Institution Evaluation'!$A$56:$K$345,5,0)&amp;""</f>
        <v>Refer to HIPAA regulations documentation for supplemental guidance in this section.</v>
      </c>
      <c r="F229" s="188" t="str">
        <f>VLOOKUP($A229,'Institution Evaluation'!$A$56:$K$345,6,0)&amp;""</f>
        <v/>
      </c>
      <c r="G229" s="30" t="str">
        <f>VLOOKUP($A229,'Institution Evaluation'!$A$56:$K$345,7,0)&amp;""</f>
        <v>Yes</v>
      </c>
      <c r="H229" s="185" t="str">
        <f>VLOOKUP($A229,'Institution Evaluation'!$A$56:$K$345,8,0)&amp;""</f>
        <v/>
      </c>
      <c r="I229" s="45" t="str">
        <f>VLOOKUP($A229,'Institution Evaluation'!$A$56:$K$345,9,0)&amp;""</f>
        <v>Standard Importance</v>
      </c>
      <c r="J229" s="186" t="str">
        <f>VLOOKUP($A229,'Institution Evaluation'!$A$56:$K$345,10,0)&amp;""</f>
        <v/>
      </c>
      <c r="K229" s="48" t="str">
        <f>IF(VLOOKUP($A229,'Institution Evaluation'!$A$56:$K$345,10,0)=TRUE,'Auto Responses'!$J$3,"")</f>
        <v/>
      </c>
    </row>
    <row r="230" spans="1:11" ht="60" x14ac:dyDescent="0.2">
      <c r="A230" s="19" t="s">
        <v>615</v>
      </c>
      <c r="B230" s="18" t="str">
        <f>VLOOKUP($A230,Questions!$A$2:$X$333,2,0)</f>
        <v>Does your application automatically lock or log-out an account after a period of inactivity?</v>
      </c>
      <c r="C230" s="45" t="str">
        <f>VLOOKUP($A230,'Institution Evaluation'!$A$56:$K$345,3,0)&amp;""</f>
        <v/>
      </c>
      <c r="D230" s="45" t="str">
        <f>VLOOKUP($A230,'Institution Evaluation'!$A$56:$K$345,4,0)&amp;""</f>
        <v/>
      </c>
      <c r="E230" s="330" t="str">
        <f>VLOOKUP($A230,'Institution Evaluation'!$A$56:$K$345,5,0)&amp;""</f>
        <v>Refer to HIPAA regulations documentation for supplemental guidance in this section.</v>
      </c>
      <c r="F230" s="188" t="str">
        <f>VLOOKUP($A230,'Institution Evaluation'!$A$56:$K$345,6,0)&amp;""</f>
        <v/>
      </c>
      <c r="G230" s="30" t="str">
        <f>VLOOKUP($A230,'Institution Evaluation'!$A$56:$K$345,7,0)&amp;""</f>
        <v>Yes</v>
      </c>
      <c r="H230" s="185" t="str">
        <f>VLOOKUP($A230,'Institution Evaluation'!$A$56:$K$345,8,0)&amp;""</f>
        <v/>
      </c>
      <c r="I230" s="45" t="str">
        <f>VLOOKUP($A230,'Institution Evaluation'!$A$56:$K$345,9,0)&amp;""</f>
        <v>Standard Importance</v>
      </c>
      <c r="J230" s="186" t="str">
        <f>VLOOKUP($A230,'Institution Evaluation'!$A$56:$K$345,10,0)&amp;""</f>
        <v/>
      </c>
      <c r="K230" s="48" t="str">
        <f>IF(VLOOKUP($A230,'Institution Evaluation'!$A$56:$K$345,10,0)=TRUE,'Auto Responses'!$J$3,"")</f>
        <v/>
      </c>
    </row>
    <row r="231" spans="1:11" ht="60" x14ac:dyDescent="0.2">
      <c r="A231" s="19" t="s">
        <v>617</v>
      </c>
      <c r="B231" s="18" t="str">
        <f>VLOOKUP($A231,Questions!$A$2:$X$333,2,0)</f>
        <v>Are passwords visible in plain text, whether when stored or entered, including service level accounts (i.e., database accounts, etc.)?</v>
      </c>
      <c r="C231" s="45" t="str">
        <f>VLOOKUP($A231,'Institution Evaluation'!$A$56:$K$345,3,0)&amp;""</f>
        <v/>
      </c>
      <c r="D231" s="45" t="str">
        <f>VLOOKUP($A231,'Institution Evaluation'!$A$56:$K$345,4,0)&amp;""</f>
        <v/>
      </c>
      <c r="E231" s="330" t="str">
        <f>VLOOKUP($A231,'Institution Evaluation'!$A$56:$K$345,5,0)&amp;""</f>
        <v>Refer to HIPAA regulations documentation for supplemental guidance in this section.</v>
      </c>
      <c r="F231" s="188" t="str">
        <f>VLOOKUP($A231,'Institution Evaluation'!$A$56:$K$345,6,0)&amp;""</f>
        <v/>
      </c>
      <c r="G231" s="30" t="str">
        <f>VLOOKUP($A231,'Institution Evaluation'!$A$56:$K$345,7,0)&amp;""</f>
        <v>No</v>
      </c>
      <c r="H231" s="185" t="str">
        <f>VLOOKUP($A231,'Institution Evaluation'!$A$56:$K$345,8,0)&amp;""</f>
        <v/>
      </c>
      <c r="I231" s="45" t="str">
        <f>VLOOKUP($A231,'Institution Evaluation'!$A$56:$K$345,9,0)&amp;""</f>
        <v>Standard Importance</v>
      </c>
      <c r="J231" s="186" t="str">
        <f>VLOOKUP($A231,'Institution Evaluation'!$A$56:$K$345,10,0)&amp;""</f>
        <v/>
      </c>
      <c r="K231" s="48" t="str">
        <f>IF(VLOOKUP($A231,'Institution Evaluation'!$A$56:$K$345,10,0)=TRUE,'Auto Responses'!$J$3,"")</f>
        <v/>
      </c>
    </row>
    <row r="232" spans="1:11" ht="60" x14ac:dyDescent="0.2">
      <c r="A232" s="19" t="s">
        <v>619</v>
      </c>
      <c r="B232" s="18" t="str">
        <f>VLOOKUP($A232,Questions!$A$2:$X$333,2,0)</f>
        <v>If the application is institution-hosted, can all service level and administrative account passwords be changed by the institution?</v>
      </c>
      <c r="C232" s="45" t="str">
        <f>VLOOKUP($A232,'Institution Evaluation'!$A$56:$K$345,3,0)&amp;""</f>
        <v/>
      </c>
      <c r="D232" s="45" t="str">
        <f>VLOOKUP($A232,'Institution Evaluation'!$A$56:$K$345,4,0)&amp;""</f>
        <v/>
      </c>
      <c r="E232" s="330" t="str">
        <f>VLOOKUP($A232,'Institution Evaluation'!$A$56:$K$345,5,0)&amp;""</f>
        <v>Refer to HIPAA regulations documentation for supplemental guidance in this section.</v>
      </c>
      <c r="F232" s="188" t="str">
        <f>VLOOKUP($A232,'Institution Evaluation'!$A$56:$K$345,6,0)&amp;""</f>
        <v/>
      </c>
      <c r="G232" s="30" t="str">
        <f>VLOOKUP($A232,'Institution Evaluation'!$A$56:$K$345,7,0)&amp;""</f>
        <v>Yes</v>
      </c>
      <c r="H232" s="185" t="str">
        <f>VLOOKUP($A232,'Institution Evaluation'!$A$56:$K$345,8,0)&amp;""</f>
        <v/>
      </c>
      <c r="I232" s="45" t="str">
        <f>VLOOKUP($A232,'Institution Evaluation'!$A$56:$K$345,9,0)&amp;""</f>
        <v>Standard Importance</v>
      </c>
      <c r="J232" s="186" t="str">
        <f>VLOOKUP($A232,'Institution Evaluation'!$A$56:$K$345,10,0)&amp;""</f>
        <v/>
      </c>
      <c r="K232" s="48" t="str">
        <f>IF(VLOOKUP($A232,'Institution Evaluation'!$A$56:$K$345,10,0)=TRUE,'Auto Responses'!$J$3,"")</f>
        <v/>
      </c>
    </row>
    <row r="233" spans="1:11" ht="60" x14ac:dyDescent="0.2">
      <c r="A233" s="19" t="s">
        <v>621</v>
      </c>
      <c r="B233" s="18" t="str">
        <f>VLOOKUP($A233,Questions!$A$2:$X$333,2,0)</f>
        <v>Does your application provide the ability to define user access levels?</v>
      </c>
      <c r="C233" s="45" t="str">
        <f>VLOOKUP($A233,'Institution Evaluation'!$A$56:$K$345,3,0)&amp;""</f>
        <v/>
      </c>
      <c r="D233" s="45" t="str">
        <f>VLOOKUP($A233,'Institution Evaluation'!$A$56:$K$345,4,0)&amp;""</f>
        <v/>
      </c>
      <c r="E233" s="330" t="str">
        <f>VLOOKUP($A233,'Institution Evaluation'!$A$56:$K$345,5,0)&amp;""</f>
        <v>Refer to HIPAA regulations documentation for supplemental guidance in this section.</v>
      </c>
      <c r="F233" s="188" t="str">
        <f>VLOOKUP($A233,'Institution Evaluation'!$A$56:$K$345,6,0)&amp;""</f>
        <v/>
      </c>
      <c r="G233" s="30" t="str">
        <f>VLOOKUP($A233,'Institution Evaluation'!$A$56:$K$345,7,0)&amp;""</f>
        <v>Yes</v>
      </c>
      <c r="H233" s="185" t="str">
        <f>VLOOKUP($A233,'Institution Evaluation'!$A$56:$K$345,8,0)&amp;""</f>
        <v/>
      </c>
      <c r="I233" s="45" t="str">
        <f>VLOOKUP($A233,'Institution Evaluation'!$A$56:$K$345,9,0)&amp;""</f>
        <v>Standard Importance</v>
      </c>
      <c r="J233" s="186" t="str">
        <f>VLOOKUP($A233,'Institution Evaluation'!$A$56:$K$345,10,0)&amp;""</f>
        <v/>
      </c>
      <c r="K233" s="48" t="str">
        <f>IF(VLOOKUP($A233,'Institution Evaluation'!$A$56:$K$345,10,0)=TRUE,'Auto Responses'!$J$3,"")</f>
        <v/>
      </c>
    </row>
    <row r="234" spans="1:11" ht="60" x14ac:dyDescent="0.2">
      <c r="A234" s="19" t="s">
        <v>623</v>
      </c>
      <c r="B234" s="18" t="str">
        <f>VLOOKUP($A234,Questions!$A$2:$X$333,2,0)</f>
        <v>Does your application support varying levels of access to administrative tasks defined individually per user?</v>
      </c>
      <c r="C234" s="45" t="str">
        <f>VLOOKUP($A234,'Institution Evaluation'!$A$56:$K$345,3,0)&amp;""</f>
        <v/>
      </c>
      <c r="D234" s="45" t="str">
        <f>VLOOKUP($A234,'Institution Evaluation'!$A$56:$K$345,4,0)&amp;""</f>
        <v/>
      </c>
      <c r="E234" s="330" t="str">
        <f>VLOOKUP($A234,'Institution Evaluation'!$A$56:$K$345,5,0)&amp;""</f>
        <v>Refer to HIPAA regulations documentation for supplemental guidance in this section.</v>
      </c>
      <c r="F234" s="188" t="str">
        <f>VLOOKUP($A234,'Institution Evaluation'!$A$56:$K$345,6,0)&amp;""</f>
        <v/>
      </c>
      <c r="G234" s="30" t="str">
        <f>VLOOKUP($A234,'Institution Evaluation'!$A$56:$K$345,7,0)&amp;""</f>
        <v>Yes</v>
      </c>
      <c r="H234" s="185" t="str">
        <f>VLOOKUP($A234,'Institution Evaluation'!$A$56:$K$345,8,0)&amp;""</f>
        <v/>
      </c>
      <c r="I234" s="45" t="str">
        <f>VLOOKUP($A234,'Institution Evaluation'!$A$56:$K$345,9,0)&amp;""</f>
        <v>Standard Importance</v>
      </c>
      <c r="J234" s="186" t="str">
        <f>VLOOKUP($A234,'Institution Evaluation'!$A$56:$K$345,10,0)&amp;""</f>
        <v/>
      </c>
      <c r="K234" s="48" t="str">
        <f>IF(VLOOKUP($A234,'Institution Evaluation'!$A$56:$K$345,10,0)=TRUE,'Auto Responses'!$J$3,"")</f>
        <v/>
      </c>
    </row>
    <row r="235" spans="1:11" ht="60" x14ac:dyDescent="0.2">
      <c r="A235" s="19" t="s">
        <v>625</v>
      </c>
      <c r="B235" s="18" t="str">
        <f>VLOOKUP($A235,Questions!$A$2:$X$333,2,0)</f>
        <v>Does your application support varying levels of access to records based on user ID?</v>
      </c>
      <c r="C235" s="45" t="str">
        <f>VLOOKUP($A235,'Institution Evaluation'!$A$56:$K$345,3,0)&amp;""</f>
        <v/>
      </c>
      <c r="D235" s="45" t="str">
        <f>VLOOKUP($A235,'Institution Evaluation'!$A$56:$K$345,4,0)&amp;""</f>
        <v/>
      </c>
      <c r="E235" s="330" t="str">
        <f>VLOOKUP($A235,'Institution Evaluation'!$A$56:$K$345,5,0)&amp;""</f>
        <v>Refer to HIPAA regulations documentation for supplemental guidance in this section.</v>
      </c>
      <c r="F235" s="188" t="str">
        <f>VLOOKUP($A235,'Institution Evaluation'!$A$56:$K$345,6,0)&amp;""</f>
        <v/>
      </c>
      <c r="G235" s="30" t="str">
        <f>VLOOKUP($A235,'Institution Evaluation'!$A$56:$K$345,7,0)&amp;""</f>
        <v>No</v>
      </c>
      <c r="H235" s="185" t="str">
        <f>VLOOKUP($A235,'Institution Evaluation'!$A$56:$K$345,8,0)&amp;""</f>
        <v/>
      </c>
      <c r="I235" s="45" t="str">
        <f>VLOOKUP($A235,'Institution Evaluation'!$A$56:$K$345,9,0)&amp;""</f>
        <v>Standard Importance</v>
      </c>
      <c r="J235" s="186" t="str">
        <f>VLOOKUP($A235,'Institution Evaluation'!$A$56:$K$345,10,0)&amp;""</f>
        <v/>
      </c>
      <c r="K235" s="48" t="str">
        <f>IF(VLOOKUP($A235,'Institution Evaluation'!$A$56:$K$345,10,0)=TRUE,'Auto Responses'!$J$3,"")</f>
        <v/>
      </c>
    </row>
    <row r="236" spans="1:11" ht="60" x14ac:dyDescent="0.2">
      <c r="A236" s="19" t="s">
        <v>626</v>
      </c>
      <c r="B236" s="18" t="str">
        <f>VLOOKUP($A236,Questions!$A$2:$X$333,2,0)</f>
        <v>Is there a limit to the number of groups to which a user can be assigned?</v>
      </c>
      <c r="C236" s="45" t="str">
        <f>VLOOKUP($A236,'Institution Evaluation'!$A$56:$K$345,3,0)&amp;""</f>
        <v/>
      </c>
      <c r="D236" s="45" t="str">
        <f>VLOOKUP($A236,'Institution Evaluation'!$A$56:$K$345,4,0)&amp;""</f>
        <v/>
      </c>
      <c r="E236" s="330" t="str">
        <f>VLOOKUP($A236,'Institution Evaluation'!$A$56:$K$345,5,0)&amp;""</f>
        <v>Refer to HIPAA regulations documentation for supplemental guidance in this section.</v>
      </c>
      <c r="F236" s="188" t="str">
        <f>VLOOKUP($A236,'Institution Evaluation'!$A$56:$K$345,6,0)&amp;""</f>
        <v/>
      </c>
      <c r="G236" s="30" t="str">
        <f>VLOOKUP($A236,'Institution Evaluation'!$A$56:$K$345,7,0)&amp;""</f>
        <v>Yes</v>
      </c>
      <c r="H236" s="185" t="str">
        <f>VLOOKUP($A236,'Institution Evaluation'!$A$56:$K$345,8,0)&amp;""</f>
        <v/>
      </c>
      <c r="I236" s="45" t="str">
        <f>VLOOKUP($A236,'Institution Evaluation'!$A$56:$K$345,9,0)&amp;""</f>
        <v>Standard Importance</v>
      </c>
      <c r="J236" s="186" t="str">
        <f>VLOOKUP($A236,'Institution Evaluation'!$A$56:$K$345,10,0)&amp;""</f>
        <v/>
      </c>
      <c r="K236" s="48" t="str">
        <f>IF(VLOOKUP($A236,'Institution Evaluation'!$A$56:$K$345,10,0)=TRUE,'Auto Responses'!$J$3,"")</f>
        <v/>
      </c>
    </row>
    <row r="237" spans="1:11" ht="60" x14ac:dyDescent="0.2">
      <c r="A237" s="19" t="s">
        <v>628</v>
      </c>
      <c r="B237" s="18" t="str">
        <f>VLOOKUP($A237,Questions!$A$2:$X$333,2,0)</f>
        <v>Do accounts used for solution provider-supplied remote support abide by the same authentication policies and access logging as the rest of the system?</v>
      </c>
      <c r="C237" s="45" t="str">
        <f>VLOOKUP($A237,'Institution Evaluation'!$A$56:$K$345,3,0)&amp;""</f>
        <v/>
      </c>
      <c r="D237" s="45" t="str">
        <f>VLOOKUP($A237,'Institution Evaluation'!$A$56:$K$345,4,0)&amp;""</f>
        <v/>
      </c>
      <c r="E237" s="330" t="str">
        <f>VLOOKUP($A237,'Institution Evaluation'!$A$56:$K$345,5,0)&amp;""</f>
        <v>Refer to HIPAA regulations documentation for supplemental guidance in this section.</v>
      </c>
      <c r="F237" s="188" t="str">
        <f>VLOOKUP($A237,'Institution Evaluation'!$A$56:$K$345,6,0)&amp;""</f>
        <v/>
      </c>
      <c r="G237" s="30" t="str">
        <f>VLOOKUP($A237,'Institution Evaluation'!$A$56:$K$345,7,0)&amp;""</f>
        <v>Yes</v>
      </c>
      <c r="H237" s="185" t="str">
        <f>VLOOKUP($A237,'Institution Evaluation'!$A$56:$K$345,8,0)&amp;""</f>
        <v/>
      </c>
      <c r="I237" s="45" t="str">
        <f>VLOOKUP($A237,'Institution Evaluation'!$A$56:$K$345,9,0)&amp;""</f>
        <v>Standard Importance</v>
      </c>
      <c r="J237" s="186" t="str">
        <f>VLOOKUP($A237,'Institution Evaluation'!$A$56:$K$345,10,0)&amp;""</f>
        <v/>
      </c>
      <c r="K237" s="48" t="str">
        <f>IF(VLOOKUP($A237,'Institution Evaluation'!$A$56:$K$345,10,0)=TRUE,'Auto Responses'!$J$3,"")</f>
        <v/>
      </c>
    </row>
    <row r="238" spans="1:11" ht="60" x14ac:dyDescent="0.2">
      <c r="A238" s="19" t="s">
        <v>629</v>
      </c>
      <c r="B238" s="18" t="str">
        <f>VLOOKUP($A238,Questions!$A$2:$X$333,2,0)</f>
        <v>Does the application log record access including specific user, date/time of access, and originating IP or device?</v>
      </c>
      <c r="C238" s="45" t="str">
        <f>VLOOKUP($A238,'Institution Evaluation'!$A$56:$K$345,3,0)&amp;""</f>
        <v/>
      </c>
      <c r="D238" s="45" t="str">
        <f>VLOOKUP($A238,'Institution Evaluation'!$A$56:$K$345,4,0)&amp;""</f>
        <v/>
      </c>
      <c r="E238" s="330" t="str">
        <f>VLOOKUP($A238,'Institution Evaluation'!$A$56:$K$345,5,0)&amp;""</f>
        <v>Refer to HIPAA regulations documentation for supplemental guidance in this section.</v>
      </c>
      <c r="F238" s="188" t="str">
        <f>VLOOKUP($A238,'Institution Evaluation'!$A$56:$K$345,6,0)&amp;""</f>
        <v/>
      </c>
      <c r="G238" s="30" t="str">
        <f>VLOOKUP($A238,'Institution Evaluation'!$A$56:$K$345,7,0)&amp;""</f>
        <v>Yes</v>
      </c>
      <c r="H238" s="185" t="str">
        <f>VLOOKUP($A238,'Institution Evaluation'!$A$56:$K$345,8,0)&amp;""</f>
        <v/>
      </c>
      <c r="I238" s="45" t="str">
        <f>VLOOKUP($A238,'Institution Evaluation'!$A$56:$K$345,9,0)&amp;""</f>
        <v>Standard Importance</v>
      </c>
      <c r="J238" s="186" t="str">
        <f>VLOOKUP($A238,'Institution Evaluation'!$A$56:$K$345,10,0)&amp;""</f>
        <v/>
      </c>
      <c r="K238" s="48" t="str">
        <f>IF(VLOOKUP($A238,'Institution Evaluation'!$A$56:$K$345,10,0)=TRUE,'Auto Responses'!$J$3,"")</f>
        <v/>
      </c>
    </row>
    <row r="239" spans="1:11" ht="60" x14ac:dyDescent="0.2">
      <c r="A239" s="19" t="s">
        <v>630</v>
      </c>
      <c r="B239" s="18" t="str">
        <f>VLOOKUP($A239,Questions!$A$2:$X$333,2,0)</f>
        <v>Does the application log administrative activity, such as user account access changes and password changes, including specific user, date/time of changes, and originating IP or device?</v>
      </c>
      <c r="C239" s="45" t="str">
        <f>VLOOKUP($A239,'Institution Evaluation'!$A$56:$K$345,3,0)&amp;""</f>
        <v/>
      </c>
      <c r="D239" s="45" t="str">
        <f>VLOOKUP($A239,'Institution Evaluation'!$A$56:$K$345,4,0)&amp;""</f>
        <v/>
      </c>
      <c r="E239" s="330" t="str">
        <f>VLOOKUP($A239,'Institution Evaluation'!$A$56:$K$345,5,0)&amp;""</f>
        <v>Refer to HIPAA regulations documentation for supplemental guidance in this section.</v>
      </c>
      <c r="F239" s="188" t="str">
        <f>VLOOKUP($A239,'Institution Evaluation'!$A$56:$K$345,6,0)&amp;""</f>
        <v/>
      </c>
      <c r="G239" s="30" t="str">
        <f>VLOOKUP($A239,'Institution Evaluation'!$A$56:$K$345,7,0)&amp;""</f>
        <v>Yes</v>
      </c>
      <c r="H239" s="185" t="str">
        <f>VLOOKUP($A239,'Institution Evaluation'!$A$56:$K$345,8,0)&amp;""</f>
        <v/>
      </c>
      <c r="I239" s="45" t="str">
        <f>VLOOKUP($A239,'Institution Evaluation'!$A$56:$K$345,9,0)&amp;""</f>
        <v>Standard Importance</v>
      </c>
      <c r="J239" s="186" t="str">
        <f>VLOOKUP($A239,'Institution Evaluation'!$A$56:$K$345,10,0)&amp;""</f>
        <v/>
      </c>
      <c r="K239" s="48" t="str">
        <f>IF(VLOOKUP($A239,'Institution Evaluation'!$A$56:$K$345,10,0)=TRUE,'Auto Responses'!$J$3,"")</f>
        <v/>
      </c>
    </row>
    <row r="240" spans="1:11" ht="60" x14ac:dyDescent="0.2">
      <c r="A240" s="19" t="s">
        <v>632</v>
      </c>
      <c r="B240" s="18" t="str">
        <f>VLOOKUP($A240,Questions!$A$2:$X$333,2,0)</f>
        <v>Do you retain logs for at least as long as required by HIPAA regulations?</v>
      </c>
      <c r="C240" s="45" t="str">
        <f>VLOOKUP($A240,'Institution Evaluation'!$A$56:$K$345,3,0)&amp;""</f>
        <v/>
      </c>
      <c r="D240" s="45" t="str">
        <f>VLOOKUP($A240,'Institution Evaluation'!$A$56:$K$345,4,0)&amp;""</f>
        <v/>
      </c>
      <c r="E240" s="330" t="str">
        <f>VLOOKUP($A240,'Institution Evaluation'!$A$56:$K$345,5,0)&amp;""</f>
        <v>Refer to HIPAA regulations documentation for supplemental guidance in this section.</v>
      </c>
      <c r="F240" s="188" t="str">
        <f>VLOOKUP($A240,'Institution Evaluation'!$A$56:$K$345,6,0)&amp;""</f>
        <v/>
      </c>
      <c r="G240" s="30" t="str">
        <f>VLOOKUP($A240,'Institution Evaluation'!$A$56:$K$345,7,0)&amp;""</f>
        <v>Yes</v>
      </c>
      <c r="H240" s="185" t="str">
        <f>VLOOKUP($A240,'Institution Evaluation'!$A$56:$K$345,8,0)&amp;""</f>
        <v/>
      </c>
      <c r="I240" s="45" t="str">
        <f>VLOOKUP($A240,'Institution Evaluation'!$A$56:$K$345,9,0)&amp;""</f>
        <v>Standard Importance</v>
      </c>
      <c r="J240" s="186" t="str">
        <f>VLOOKUP($A240,'Institution Evaluation'!$A$56:$K$345,10,0)&amp;""</f>
        <v/>
      </c>
      <c r="K240" s="48" t="str">
        <f>IF(VLOOKUP($A240,'Institution Evaluation'!$A$56:$K$345,10,0)=TRUE,'Auto Responses'!$J$3,"")</f>
        <v/>
      </c>
    </row>
    <row r="241" spans="1:14" ht="60" x14ac:dyDescent="0.2">
      <c r="A241" s="19" t="s">
        <v>634</v>
      </c>
      <c r="B241" s="18" t="str">
        <f>VLOOKUP($A241,Questions!$A$2:$X$333,2,0)</f>
        <v>Can the application logs be archived?</v>
      </c>
      <c r="C241" s="45" t="str">
        <f>VLOOKUP($A241,'Institution Evaluation'!$A$56:$K$345,3,0)&amp;""</f>
        <v/>
      </c>
      <c r="D241" s="45" t="str">
        <f>VLOOKUP($A241,'Institution Evaluation'!$A$56:$K$345,4,0)&amp;""</f>
        <v/>
      </c>
      <c r="E241" s="330" t="str">
        <f>VLOOKUP($A241,'Institution Evaluation'!$A$56:$K$345,5,0)&amp;""</f>
        <v>Refer to HIPAA regulations documentation for supplemental guidance in this section.</v>
      </c>
      <c r="F241" s="188" t="str">
        <f>VLOOKUP($A241,'Institution Evaluation'!$A$56:$K$345,6,0)&amp;""</f>
        <v/>
      </c>
      <c r="G241" s="30" t="str">
        <f>VLOOKUP($A241,'Institution Evaluation'!$A$56:$K$345,7,0)&amp;""</f>
        <v>Yes</v>
      </c>
      <c r="H241" s="185" t="str">
        <f>VLOOKUP($A241,'Institution Evaluation'!$A$56:$K$345,8,0)&amp;""</f>
        <v/>
      </c>
      <c r="I241" s="45" t="str">
        <f>VLOOKUP($A241,'Institution Evaluation'!$A$56:$K$345,9,0)&amp;""</f>
        <v>Standard Importance</v>
      </c>
      <c r="J241" s="186" t="str">
        <f>VLOOKUP($A241,'Institution Evaluation'!$A$56:$K$345,10,0)&amp;""</f>
        <v/>
      </c>
      <c r="K241" s="48" t="str">
        <f>IF(VLOOKUP($A241,'Institution Evaluation'!$A$56:$K$345,10,0)=TRUE,'Auto Responses'!$J$3,"")</f>
        <v/>
      </c>
    </row>
    <row r="242" spans="1:14" ht="60" x14ac:dyDescent="0.2">
      <c r="A242" s="19" t="s">
        <v>636</v>
      </c>
      <c r="B242" s="18" t="str">
        <f>VLOOKUP($A242,Questions!$A$2:$X$333,2,0)</f>
        <v>Can the application logs be saved externally?</v>
      </c>
      <c r="C242" s="45" t="str">
        <f>VLOOKUP($A242,'Institution Evaluation'!$A$56:$K$345,3,0)&amp;""</f>
        <v/>
      </c>
      <c r="D242" s="45" t="str">
        <f>VLOOKUP($A242,'Institution Evaluation'!$A$56:$K$345,4,0)&amp;""</f>
        <v/>
      </c>
      <c r="E242" s="330" t="str">
        <f>VLOOKUP($A242,'Institution Evaluation'!$A$56:$K$345,5,0)&amp;""</f>
        <v>Refer to HIPAA regulations documentation for supplemental guidance in this section.</v>
      </c>
      <c r="F242" s="188" t="str">
        <f>VLOOKUP($A242,'Institution Evaluation'!$A$56:$K$345,6,0)&amp;""</f>
        <v/>
      </c>
      <c r="G242" s="30" t="str">
        <f>VLOOKUP($A242,'Institution Evaluation'!$A$56:$K$345,7,0)&amp;""</f>
        <v>Yes</v>
      </c>
      <c r="H242" s="185" t="str">
        <f>VLOOKUP($A242,'Institution Evaluation'!$A$56:$K$345,8,0)&amp;""</f>
        <v/>
      </c>
      <c r="I242" s="45" t="str">
        <f>VLOOKUP($A242,'Institution Evaluation'!$A$56:$K$345,9,0)&amp;""</f>
        <v>Standard Importance</v>
      </c>
      <c r="J242" s="186" t="str">
        <f>VLOOKUP($A242,'Institution Evaluation'!$A$56:$K$345,10,0)&amp;""</f>
        <v/>
      </c>
      <c r="K242" s="48" t="str">
        <f>IF(VLOOKUP($A242,'Institution Evaluation'!$A$56:$K$345,10,0)=TRUE,'Auto Responses'!$J$3,"")</f>
        <v/>
      </c>
    </row>
    <row r="243" spans="1:14" ht="60" x14ac:dyDescent="0.2">
      <c r="A243" s="19" t="s">
        <v>638</v>
      </c>
      <c r="B243" s="18" t="str">
        <f>VLOOKUP($A243,Questions!$A$2:$X$333,2,0)</f>
        <v>Do you have a disaster recovery plan and emergency mode operation plan?</v>
      </c>
      <c r="C243" s="45" t="str">
        <f>VLOOKUP($A243,'Institution Evaluation'!$A$56:$K$345,3,0)&amp;""</f>
        <v/>
      </c>
      <c r="D243" s="45" t="str">
        <f>VLOOKUP($A243,'Institution Evaluation'!$A$56:$K$345,4,0)&amp;""</f>
        <v/>
      </c>
      <c r="E243" s="330" t="str">
        <f>VLOOKUP($A243,'Institution Evaluation'!$A$56:$K$345,5,0)&amp;""</f>
        <v>Refer to HIPAA regulations documentation for supplemental guidance in this section.</v>
      </c>
      <c r="F243" s="188" t="str">
        <f>VLOOKUP($A243,'Institution Evaluation'!$A$56:$K$345,6,0)&amp;""</f>
        <v/>
      </c>
      <c r="G243" s="30" t="str">
        <f>VLOOKUP($A243,'Institution Evaluation'!$A$56:$K$345,7,0)&amp;""</f>
        <v>Yes</v>
      </c>
      <c r="H243" s="185" t="str">
        <f>VLOOKUP($A243,'Institution Evaluation'!$A$56:$K$345,8,0)&amp;""</f>
        <v/>
      </c>
      <c r="I243" s="45" t="str">
        <f>VLOOKUP($A243,'Institution Evaluation'!$A$56:$K$345,9,0)&amp;""</f>
        <v>Standard Importance</v>
      </c>
      <c r="J243" s="186" t="str">
        <f>VLOOKUP($A243,'Institution Evaluation'!$A$56:$K$345,10,0)&amp;""</f>
        <v/>
      </c>
      <c r="K243" s="48" t="str">
        <f>IF(VLOOKUP($A243,'Institution Evaluation'!$A$56:$K$345,10,0)=TRUE,'Auto Responses'!$J$3,"")</f>
        <v/>
      </c>
    </row>
    <row r="244" spans="1:14" ht="60" x14ac:dyDescent="0.2">
      <c r="A244" s="19" t="s">
        <v>639</v>
      </c>
      <c r="B244" s="18" t="str">
        <f>VLOOKUP($A244,Questions!$A$2:$X$333,2,0)</f>
        <v>Can you provide a HIPAA compliance attestation document?</v>
      </c>
      <c r="C244" s="45" t="str">
        <f>VLOOKUP($A244,'Institution Evaluation'!$A$56:$K$345,3,0)&amp;""</f>
        <v/>
      </c>
      <c r="D244" s="45" t="str">
        <f>VLOOKUP($A244,'Institution Evaluation'!$A$56:$K$345,4,0)&amp;""</f>
        <v/>
      </c>
      <c r="E244" s="330" t="str">
        <f>VLOOKUP($A244,'Institution Evaluation'!$A$56:$K$345,5,0)&amp;""</f>
        <v>Refer to HIPAA regulations documentation for supplemental guidance in this section.</v>
      </c>
      <c r="F244" s="188" t="str">
        <f>VLOOKUP($A244,'Institution Evaluation'!$A$56:$K$345,6,0)&amp;""</f>
        <v/>
      </c>
      <c r="G244" s="30" t="str">
        <f>VLOOKUP($A244,'Institution Evaluation'!$A$56:$K$345,7,0)&amp;""</f>
        <v>Yes</v>
      </c>
      <c r="H244" s="185" t="str">
        <f>VLOOKUP($A244,'Institution Evaluation'!$A$56:$K$345,8,0)&amp;""</f>
        <v/>
      </c>
      <c r="I244" s="45" t="str">
        <f>VLOOKUP($A244,'Institution Evaluation'!$A$56:$K$345,9,0)&amp;""</f>
        <v>Standard Importance</v>
      </c>
      <c r="J244" s="186" t="str">
        <f>VLOOKUP($A244,'Institution Evaluation'!$A$56:$K$345,10,0)&amp;""</f>
        <v/>
      </c>
      <c r="K244" s="48" t="str">
        <f>IF(VLOOKUP($A244,'Institution Evaluation'!$A$56:$K$345,10,0)=TRUE,'Auto Responses'!$J$3,"")</f>
        <v/>
      </c>
    </row>
    <row r="245" spans="1:14" ht="60" x14ac:dyDescent="0.2">
      <c r="A245" s="19" t="s">
        <v>641</v>
      </c>
      <c r="B245" s="18" t="str">
        <f>VLOOKUP($A245,Questions!$A$2:$X$333,2,0)</f>
        <v>Are you willing to enter into a Business Associate Agreement (BAA)?</v>
      </c>
      <c r="C245" s="45" t="str">
        <f>VLOOKUP($A245,'Institution Evaluation'!$A$56:$K$345,3,0)&amp;""</f>
        <v/>
      </c>
      <c r="D245" s="45" t="str">
        <f>VLOOKUP($A245,'Institution Evaluation'!$A$56:$K$345,4,0)&amp;""</f>
        <v/>
      </c>
      <c r="E245" s="330" t="str">
        <f>VLOOKUP($A245,'Institution Evaluation'!$A$56:$K$345,5,0)&amp;""</f>
        <v>Refer to HIPAA regulations documentation for supplemental guidance in this section.</v>
      </c>
      <c r="F245" s="188" t="str">
        <f>VLOOKUP($A245,'Institution Evaluation'!$A$56:$K$345,6,0)&amp;""</f>
        <v/>
      </c>
      <c r="G245" s="30" t="str">
        <f>VLOOKUP($A245,'Institution Evaluation'!$A$56:$K$345,7,0)&amp;""</f>
        <v>Yes</v>
      </c>
      <c r="H245" s="185" t="str">
        <f>VLOOKUP($A245,'Institution Evaluation'!$A$56:$K$345,8,0)&amp;""</f>
        <v/>
      </c>
      <c r="I245" s="45" t="str">
        <f>VLOOKUP($A245,'Institution Evaluation'!$A$56:$K$345,9,0)&amp;""</f>
        <v>Standard Importance</v>
      </c>
      <c r="J245" s="186" t="str">
        <f>VLOOKUP($A245,'Institution Evaluation'!$A$56:$K$345,10,0)&amp;""</f>
        <v/>
      </c>
      <c r="K245" s="48" t="str">
        <f>IF(VLOOKUP($A245,'Institution Evaluation'!$A$56:$K$345,10,0)=TRUE,'Auto Responses'!$J$3,"")</f>
        <v/>
      </c>
    </row>
    <row r="246" spans="1:14" ht="60" x14ac:dyDescent="0.2">
      <c r="A246" s="19" t="s">
        <v>643</v>
      </c>
      <c r="B246" s="18" t="str">
        <f>VLOOKUP($A246,Questions!$A$2:$X$333,2,0)</f>
        <v>Do your data backup and retention policies and practices meet HIPAA requirements?</v>
      </c>
      <c r="C246" s="45" t="str">
        <f>VLOOKUP($A246,'Institution Evaluation'!$A$56:$K$345,3,0)&amp;""</f>
        <v/>
      </c>
      <c r="D246" s="45" t="str">
        <f>VLOOKUP($A246,'Institution Evaluation'!$A$56:$K$345,4,0)&amp;""</f>
        <v/>
      </c>
      <c r="E246" s="330" t="str">
        <f>VLOOKUP($A246,'Institution Evaluation'!$A$56:$K$345,5,0)&amp;""</f>
        <v>Refer to HIPAA regulations documentation for supplemental guidance in this section.</v>
      </c>
      <c r="F246" s="188" t="str">
        <f>VLOOKUP($A246,'Institution Evaluation'!$A$56:$K$345,6,0)&amp;""</f>
        <v/>
      </c>
      <c r="G246" s="30" t="str">
        <f>VLOOKUP($A246,'Institution Evaluation'!$A$56:$K$345,7,0)&amp;""</f>
        <v>Yes</v>
      </c>
      <c r="H246" s="185" t="str">
        <f>VLOOKUP($A246,'Institution Evaluation'!$A$56:$K$345,8,0)&amp;""</f>
        <v/>
      </c>
      <c r="I246" s="45" t="str">
        <f>VLOOKUP($A246,'Institution Evaluation'!$A$56:$K$345,9,0)&amp;""</f>
        <v>Minor Importance</v>
      </c>
      <c r="J246" s="186" t="str">
        <f>VLOOKUP($A246,'Institution Evaluation'!$A$56:$K$345,10,0)&amp;""</f>
        <v/>
      </c>
      <c r="K246" s="48" t="str">
        <f>IF(VLOOKUP($A246,'Institution Evaluation'!$A$56:$K$345,10,0)=TRUE,'Auto Responses'!$J$3,"")</f>
        <v/>
      </c>
    </row>
    <row r="247" spans="1:14" s="1" customFormat="1" ht="18" x14ac:dyDescent="0.2">
      <c r="A247" s="63" t="str">
        <f>VLOOKUP(LEFT($A248,4),'Auto Responses'!$N$4:$O$38,2,0)&amp;""</f>
        <v xml:space="preserve"> Payment Card Industry Data Security Standard (PCI DSS)</v>
      </c>
      <c r="B247" s="22"/>
      <c r="C247" s="31"/>
      <c r="D247" s="31"/>
      <c r="E247" s="331"/>
      <c r="F247" s="132" t="s">
        <v>1030</v>
      </c>
      <c r="G247" s="335" t="s">
        <v>869</v>
      </c>
      <c r="H247" s="335" t="s">
        <v>871</v>
      </c>
      <c r="I247" s="335" t="s">
        <v>19</v>
      </c>
      <c r="J247" s="335" t="s">
        <v>856</v>
      </c>
      <c r="K247" s="31"/>
    </row>
    <row r="248" spans="1:14" ht="45" x14ac:dyDescent="0.2">
      <c r="A248" s="19" t="s">
        <v>644</v>
      </c>
      <c r="B248" s="18" t="str">
        <f>VLOOKUP($A248,Questions!$A$2:$X$333,2,0)</f>
        <v>Do you have a current, executed within the past year, Attestation of Compliance (AoC) or Report on Compliance (RoC)?*</v>
      </c>
      <c r="C248" s="45" t="str">
        <f>VLOOKUP($A248,'Institution Evaluation'!$A$56:$K$345,3,0)&amp;""</f>
        <v/>
      </c>
      <c r="D248" s="45" t="str">
        <f>VLOOKUP($A248,'Institution Evaluation'!$A$56:$K$345,4,0)&amp;""</f>
        <v/>
      </c>
      <c r="E248" s="330" t="str">
        <f>VLOOKUP($A248,'Institution Evaluation'!$A$56:$K$345,5,0)&amp;""</f>
        <v>Refer to PCI DSS Security Standards for supplemental guidance in this section</v>
      </c>
      <c r="F248" s="188" t="str">
        <f>VLOOKUP($A248,'Institution Evaluation'!$A$56:$K$345,6,0)&amp;""</f>
        <v/>
      </c>
      <c r="G248" s="30" t="str">
        <f>VLOOKUP($A248,'Institution Evaluation'!$A$56:$K$345,7,0)&amp;""</f>
        <v>Yes</v>
      </c>
      <c r="H248" s="185" t="str">
        <f>VLOOKUP($A248,'Institution Evaluation'!$A$56:$K$345,8,0)&amp;""</f>
        <v/>
      </c>
      <c r="I248" s="45" t="str">
        <f>VLOOKUP($A248,'Institution Evaluation'!$A$56:$K$345,9,0)&amp;""</f>
        <v>Critical Importance</v>
      </c>
      <c r="J248" s="186" t="str">
        <f>VLOOKUP($A248,'Institution Evaluation'!$A$56:$K$345,10,0)&amp;""</f>
        <v/>
      </c>
      <c r="K248" s="48" t="str">
        <f>IF(VLOOKUP($A248,'Institution Evaluation'!$A$56:$K$345,10,0)=TRUE,'Auto Responses'!$J$3,"")</f>
        <v/>
      </c>
      <c r="N248" s="60"/>
    </row>
    <row r="249" spans="1:14" ht="45" x14ac:dyDescent="0.2">
      <c r="A249" s="19" t="s">
        <v>648</v>
      </c>
      <c r="B249" s="18" t="str">
        <f>VLOOKUP($A249,Questions!$A$2:$X$333,2,0)</f>
        <v>Is the application listed as an approved Payment Application Data Security Standard (PA-DSS) application?*</v>
      </c>
      <c r="C249" s="45" t="str">
        <f>VLOOKUP($A249,'Institution Evaluation'!$A$56:$K$345,3,0)&amp;""</f>
        <v/>
      </c>
      <c r="D249" s="45" t="str">
        <f>VLOOKUP($A249,'Institution Evaluation'!$A$56:$K$345,4,0)&amp;""</f>
        <v/>
      </c>
      <c r="E249" s="330" t="str">
        <f>VLOOKUP($A249,'Institution Evaluation'!$A$56:$K$345,5,0)&amp;""</f>
        <v>Refer to PCI DSS Security Standards for supplemental guidance in this section</v>
      </c>
      <c r="F249" s="188" t="str">
        <f>VLOOKUP($A249,'Institution Evaluation'!$A$56:$K$345,6,0)&amp;""</f>
        <v/>
      </c>
      <c r="G249" s="30" t="str">
        <f>VLOOKUP($A249,'Institution Evaluation'!$A$56:$K$345,7,0)&amp;""</f>
        <v>No</v>
      </c>
      <c r="H249" s="185" t="str">
        <f>VLOOKUP($A249,'Institution Evaluation'!$A$56:$K$345,8,0)&amp;""</f>
        <v/>
      </c>
      <c r="I249" s="45" t="str">
        <f>VLOOKUP($A249,'Institution Evaluation'!$A$56:$K$345,9,0)&amp;""</f>
        <v>Critical Importance</v>
      </c>
      <c r="J249" s="186" t="str">
        <f>VLOOKUP($A249,'Institution Evaluation'!$A$56:$K$345,10,0)&amp;""</f>
        <v/>
      </c>
      <c r="K249" s="48" t="str">
        <f>IF(VLOOKUP($A249,'Institution Evaluation'!$A$56:$K$345,10,0)=TRUE,'Auto Responses'!$J$3,"")</f>
        <v/>
      </c>
    </row>
    <row r="250" spans="1:14" ht="45" x14ac:dyDescent="0.2">
      <c r="A250" s="19" t="s">
        <v>650</v>
      </c>
      <c r="B250" s="18" t="str">
        <f>VLOOKUP($A250,Questions!$A$2:$X$333,2,0)</f>
        <v>Does the system or solutions use a third party to collect, store, process, or transmit cardholder (payment/credit/debt card) data?*</v>
      </c>
      <c r="C250" s="45" t="str">
        <f>VLOOKUP($A250,'Institution Evaluation'!$A$56:$K$345,3,0)&amp;""</f>
        <v/>
      </c>
      <c r="D250" s="45" t="str">
        <f>VLOOKUP($A250,'Institution Evaluation'!$A$56:$K$345,4,0)&amp;""</f>
        <v/>
      </c>
      <c r="E250" s="330" t="str">
        <f>VLOOKUP($A250,'Institution Evaluation'!$A$56:$K$345,5,0)&amp;""</f>
        <v>Refer to PCI DSS Security Standards for supplemental guidance in this section</v>
      </c>
      <c r="F250" s="188" t="str">
        <f>VLOOKUP($A250,'Institution Evaluation'!$A$56:$K$345,6,0)&amp;""</f>
        <v/>
      </c>
      <c r="G250" s="30" t="str">
        <f>VLOOKUP($A250,'Institution Evaluation'!$A$56:$K$345,7,0)&amp;""</f>
        <v>No</v>
      </c>
      <c r="H250" s="185" t="str">
        <f>VLOOKUP($A250,'Institution Evaluation'!$A$56:$K$345,8,0)&amp;""</f>
        <v/>
      </c>
      <c r="I250" s="45" t="str">
        <f>VLOOKUP($A250,'Institution Evaluation'!$A$56:$K$345,9,0)&amp;""</f>
        <v>Critical Importance</v>
      </c>
      <c r="J250" s="186" t="str">
        <f>VLOOKUP($A250,'Institution Evaluation'!$A$56:$K$345,10,0)&amp;""</f>
        <v/>
      </c>
      <c r="K250" s="48" t="str">
        <f>IF(VLOOKUP($A250,'Institution Evaluation'!$A$56:$K$345,10,0)=TRUE,'Auto Responses'!$J$3,"")</f>
        <v/>
      </c>
    </row>
    <row r="251" spans="1:14" ht="45" x14ac:dyDescent="0.2">
      <c r="A251" s="19" t="s">
        <v>651</v>
      </c>
      <c r="B251" s="18" t="str">
        <f>VLOOKUP($A251,Questions!$A$2:$X$333,2,0)</f>
        <v>Do your systems or solutions store, process, or transmit cardholder (payment/credit/debt card) data?</v>
      </c>
      <c r="C251" s="45" t="str">
        <f>VLOOKUP($A251,'Institution Evaluation'!$A$56:$K$345,3,0)&amp;""</f>
        <v/>
      </c>
      <c r="D251" s="45" t="str">
        <f>VLOOKUP($A251,'Institution Evaluation'!$A$56:$K$345,4,0)&amp;""</f>
        <v/>
      </c>
      <c r="E251" s="330" t="str">
        <f>VLOOKUP($A251,'Institution Evaluation'!$A$56:$K$345,5,0)&amp;""</f>
        <v>Refer to PCI DSS Security Standards for supplemental guidance in this section</v>
      </c>
      <c r="F251" s="188" t="str">
        <f>VLOOKUP($A251,'Institution Evaluation'!$A$56:$K$345,6,0)&amp;""</f>
        <v/>
      </c>
      <c r="G251" s="30" t="str">
        <f>VLOOKUP($A251,'Institution Evaluation'!$A$56:$K$345,7,0)&amp;""</f>
        <v>Yes</v>
      </c>
      <c r="H251" s="185" t="str">
        <f>VLOOKUP($A251,'Institution Evaluation'!$A$56:$K$345,8,0)&amp;""</f>
        <v/>
      </c>
      <c r="I251" s="45" t="str">
        <f>VLOOKUP($A251,'Institution Evaluation'!$A$56:$K$345,9,0)&amp;""</f>
        <v>Standard Importance</v>
      </c>
      <c r="J251" s="186" t="str">
        <f>VLOOKUP($A251,'Institution Evaluation'!$A$56:$K$345,10,0)&amp;""</f>
        <v/>
      </c>
      <c r="K251" s="48" t="str">
        <f>IF(VLOOKUP($A251,'Institution Evaluation'!$A$56:$K$345,10,0)=TRUE,'Auto Responses'!$J$3,"")</f>
        <v/>
      </c>
    </row>
    <row r="252" spans="1:14" ht="45" x14ac:dyDescent="0.2">
      <c r="A252" s="19" t="s">
        <v>653</v>
      </c>
      <c r="B252" s="18" t="str">
        <f>VLOOKUP($A252,Questions!$A$2:$X$333,2,0)</f>
        <v>Are you compliant with the Payment Card Industry Data Security Standard (PCI DSS)?</v>
      </c>
      <c r="C252" s="45" t="str">
        <f>VLOOKUP($A252,'Institution Evaluation'!$A$56:$K$345,3,0)&amp;""</f>
        <v/>
      </c>
      <c r="D252" s="45" t="str">
        <f>VLOOKUP($A252,'Institution Evaluation'!$A$56:$K$345,4,0)&amp;""</f>
        <v/>
      </c>
      <c r="E252" s="330" t="str">
        <f>VLOOKUP($A252,'Institution Evaluation'!$A$56:$K$345,5,0)&amp;""</f>
        <v>Refer to PCI DSS Security Standards for supplemental guidance in this section</v>
      </c>
      <c r="F252" s="188" t="str">
        <f>VLOOKUP($A252,'Institution Evaluation'!$A$56:$K$345,6,0)&amp;""</f>
        <v/>
      </c>
      <c r="G252" s="30" t="str">
        <f>VLOOKUP($A252,'Institution Evaluation'!$A$56:$K$345,7,0)&amp;""</f>
        <v>Yes</v>
      </c>
      <c r="H252" s="185" t="str">
        <f>VLOOKUP($A252,'Institution Evaluation'!$A$56:$K$345,8,0)&amp;""</f>
        <v/>
      </c>
      <c r="I252" s="45" t="str">
        <f>VLOOKUP($A252,'Institution Evaluation'!$A$56:$K$345,9,0)&amp;""</f>
        <v>Standard Importance</v>
      </c>
      <c r="J252" s="186" t="str">
        <f>VLOOKUP($A252,'Institution Evaluation'!$A$56:$K$345,10,0)&amp;""</f>
        <v/>
      </c>
      <c r="K252" s="48" t="str">
        <f>IF(VLOOKUP($A252,'Institution Evaluation'!$A$56:$K$345,10,0)=TRUE,'Auto Responses'!$J$3,"")</f>
        <v/>
      </c>
    </row>
    <row r="253" spans="1:14" ht="45" x14ac:dyDescent="0.2">
      <c r="A253" s="19" t="s">
        <v>654</v>
      </c>
      <c r="B253" s="18" t="str">
        <f>VLOOKUP($A253,Questions!$A$2:$X$333,2,0)</f>
        <v>Are you classified as a service provider?</v>
      </c>
      <c r="C253" s="45" t="str">
        <f>VLOOKUP($A253,'Institution Evaluation'!$A$56:$K$345,3,0)&amp;""</f>
        <v/>
      </c>
      <c r="D253" s="45" t="str">
        <f>VLOOKUP($A253,'Institution Evaluation'!$A$56:$K$345,4,0)&amp;""</f>
        <v/>
      </c>
      <c r="E253" s="330" t="str">
        <f>VLOOKUP($A253,'Institution Evaluation'!$A$56:$K$345,5,0)&amp;""</f>
        <v>Refer to PCI DSS Security Standards for supplemental guidance in this section</v>
      </c>
      <c r="F253" s="188" t="str">
        <f>VLOOKUP($A253,'Institution Evaluation'!$A$56:$K$345,6,0)&amp;""</f>
        <v/>
      </c>
      <c r="G253" s="30" t="str">
        <f>VLOOKUP($A253,'Institution Evaluation'!$A$56:$K$345,7,0)&amp;""</f>
        <v>Yes</v>
      </c>
      <c r="H253" s="185" t="str">
        <f>VLOOKUP($A253,'Institution Evaluation'!$A$56:$K$345,8,0)&amp;""</f>
        <v/>
      </c>
      <c r="I253" s="45" t="str">
        <f>VLOOKUP($A253,'Institution Evaluation'!$A$56:$K$345,9,0)&amp;""</f>
        <v>Standard Importance</v>
      </c>
      <c r="J253" s="186" t="str">
        <f>VLOOKUP($A253,'Institution Evaluation'!$A$56:$K$345,10,0)&amp;""</f>
        <v/>
      </c>
      <c r="K253" s="48" t="str">
        <f>IF(VLOOKUP($A253,'Institution Evaluation'!$A$56:$K$345,10,0)=TRUE,'Auto Responses'!$J$3,"")</f>
        <v/>
      </c>
    </row>
    <row r="254" spans="1:14" ht="45" x14ac:dyDescent="0.2">
      <c r="A254" s="19" t="s">
        <v>656</v>
      </c>
      <c r="B254" s="18" t="str">
        <f>VLOOKUP($A254,Questions!$A$2:$X$333,2,0)</f>
        <v>Are you on the list of Visa approved service providers?</v>
      </c>
      <c r="C254" s="45" t="str">
        <f>VLOOKUP($A254,'Institution Evaluation'!$A$56:$K$345,3,0)&amp;""</f>
        <v/>
      </c>
      <c r="D254" s="45" t="str">
        <f>VLOOKUP($A254,'Institution Evaluation'!$A$56:$K$345,4,0)&amp;""</f>
        <v/>
      </c>
      <c r="E254" s="330" t="str">
        <f>VLOOKUP($A254,'Institution Evaluation'!$A$56:$K$345,5,0)&amp;""</f>
        <v>Refer to PCI DSS Security Standards for supplemental guidance in this section</v>
      </c>
      <c r="F254" s="188" t="str">
        <f>VLOOKUP($A254,'Institution Evaluation'!$A$56:$K$345,6,0)&amp;""</f>
        <v/>
      </c>
      <c r="G254" s="30" t="str">
        <f>VLOOKUP($A254,'Institution Evaluation'!$A$56:$K$345,7,0)&amp;""</f>
        <v>Yes</v>
      </c>
      <c r="H254" s="185" t="str">
        <f>VLOOKUP($A254,'Institution Evaluation'!$A$56:$K$345,8,0)&amp;""</f>
        <v/>
      </c>
      <c r="I254" s="45" t="str">
        <f>VLOOKUP($A254,'Institution Evaluation'!$A$56:$K$345,9,0)&amp;""</f>
        <v>Standard Importance</v>
      </c>
      <c r="J254" s="186" t="str">
        <f>VLOOKUP($A254,'Institution Evaluation'!$A$56:$K$345,10,0)&amp;""</f>
        <v/>
      </c>
      <c r="K254" s="48" t="str">
        <f>IF(VLOOKUP($A254,'Institution Evaluation'!$A$56:$K$345,10,0)=TRUE,'Auto Responses'!$J$3,"")</f>
        <v/>
      </c>
    </row>
    <row r="255" spans="1:14" ht="45" x14ac:dyDescent="0.2">
      <c r="A255" s="19" t="s">
        <v>658</v>
      </c>
      <c r="B255" s="18" t="str">
        <f>VLOOKUP($A255,Questions!$A$2:$X$333,2,0)</f>
        <v>Are you classified as a merchant? If so, what level (1, 2, 3, 4)?</v>
      </c>
      <c r="C255" s="45" t="str">
        <f>VLOOKUP($A255,'Institution Evaluation'!$A$56:$K$345,3,0)&amp;""</f>
        <v/>
      </c>
      <c r="D255" s="45" t="str">
        <f>VLOOKUP($A255,'Institution Evaluation'!$A$56:$K$345,4,0)&amp;""</f>
        <v/>
      </c>
      <c r="E255" s="330" t="str">
        <f>VLOOKUP($A255,'Institution Evaluation'!$A$56:$K$345,5,0)&amp;""</f>
        <v>Refer to PCI DSS Security Standards for supplemental guidance in this section</v>
      </c>
      <c r="F255" s="188" t="str">
        <f>VLOOKUP($A255,'Institution Evaluation'!$A$56:$K$345,6,0)&amp;""</f>
        <v/>
      </c>
      <c r="G255" s="30" t="str">
        <f>VLOOKUP($A255,'Institution Evaluation'!$A$56:$K$345,7,0)&amp;""</f>
        <v>Yes</v>
      </c>
      <c r="H255" s="185" t="str">
        <f>VLOOKUP($A255,'Institution Evaluation'!$A$56:$K$345,8,0)&amp;""</f>
        <v/>
      </c>
      <c r="I255" s="45" t="str">
        <f>VLOOKUP($A255,'Institution Evaluation'!$A$56:$K$345,9,0)&amp;""</f>
        <v>Standard Importance</v>
      </c>
      <c r="J255" s="186" t="str">
        <f>VLOOKUP($A255,'Institution Evaluation'!$A$56:$K$345,10,0)&amp;""</f>
        <v/>
      </c>
      <c r="K255" s="48" t="str">
        <f>IF(VLOOKUP($A255,'Institution Evaluation'!$A$56:$K$345,10,0)=TRUE,'Auto Responses'!$J$3,"")</f>
        <v/>
      </c>
    </row>
    <row r="256" spans="1:14" ht="45" x14ac:dyDescent="0.2">
      <c r="A256" s="19" t="s">
        <v>660</v>
      </c>
      <c r="B256" s="18" t="str">
        <f>VLOOKUP($A256,Questions!$A$2:$X$333,2,0)</f>
        <v>Describe the architecture employed by the system to verify and authorize credit card transactions.</v>
      </c>
      <c r="C256" s="45" t="str">
        <f>VLOOKUP($A256,'Institution Evaluation'!$A$56:$K$345,3,0)&amp;""</f>
        <v/>
      </c>
      <c r="D256" s="45" t="str">
        <f>VLOOKUP($A256,'Institution Evaluation'!$A$56:$K$345,4,0)&amp;""</f>
        <v/>
      </c>
      <c r="E256" s="330" t="str">
        <f>VLOOKUP($A256,'Institution Evaluation'!$A$56:$K$345,5,0)&amp;""</f>
        <v>Refer to PCI DSS Security Standards for supplemental guidance in this section</v>
      </c>
      <c r="F256" s="188" t="str">
        <f>VLOOKUP($A256,'Institution Evaluation'!$A$56:$K$345,6,0)&amp;""</f>
        <v/>
      </c>
      <c r="G256" s="30" t="str">
        <f>VLOOKUP($A256,'Institution Evaluation'!$A$56:$K$345,7,0)&amp;""</f>
        <v>Not scored</v>
      </c>
      <c r="H256" s="185" t="str">
        <f>VLOOKUP($A256,'Institution Evaluation'!$A$56:$K$345,8,0)&amp;""</f>
        <v/>
      </c>
      <c r="I256" s="45" t="str">
        <f>VLOOKUP($A256,'Institution Evaluation'!$A$56:$K$345,9,0)&amp;""</f>
        <v/>
      </c>
      <c r="J256" s="186" t="str">
        <f>VLOOKUP($A256,'Institution Evaluation'!$A$56:$K$345,10,0)&amp;""</f>
        <v/>
      </c>
      <c r="K256" s="48" t="str">
        <f>IF(VLOOKUP($A256,'Institution Evaluation'!$A$56:$K$345,10,0)=TRUE,'Auto Responses'!$J$3,"")</f>
        <v/>
      </c>
    </row>
    <row r="257" spans="1:13" ht="45" x14ac:dyDescent="0.2">
      <c r="A257" s="19" t="s">
        <v>661</v>
      </c>
      <c r="B257" s="18" t="str">
        <f>VLOOKUP($A257,Questions!$A$2:$X$333,2,0)</f>
        <v>What payment processors/gateways does the system support?</v>
      </c>
      <c r="C257" s="45" t="str">
        <f>VLOOKUP($A257,'Institution Evaluation'!$A$56:$K$345,3,0)&amp;""</f>
        <v/>
      </c>
      <c r="D257" s="45" t="str">
        <f>VLOOKUP($A257,'Institution Evaluation'!$A$56:$K$345,4,0)&amp;""</f>
        <v/>
      </c>
      <c r="E257" s="330" t="str">
        <f>VLOOKUP($A257,'Institution Evaluation'!$A$56:$K$345,5,0)&amp;""</f>
        <v>Refer to PCI DSS Security Standards for supplemental guidance in this section</v>
      </c>
      <c r="F257" s="188" t="str">
        <f>VLOOKUP($A257,'Institution Evaluation'!$A$56:$K$345,6,0)&amp;""</f>
        <v/>
      </c>
      <c r="G257" s="30" t="str">
        <f>VLOOKUP($A257,'Institution Evaluation'!$A$56:$K$345,7,0)&amp;""</f>
        <v>Not scored</v>
      </c>
      <c r="H257" s="185" t="str">
        <f>VLOOKUP($A257,'Institution Evaluation'!$A$56:$K$345,8,0)&amp;""</f>
        <v/>
      </c>
      <c r="I257" s="45" t="str">
        <f>VLOOKUP($A257,'Institution Evaluation'!$A$56:$K$345,9,0)&amp;""</f>
        <v/>
      </c>
      <c r="J257" s="186" t="str">
        <f>VLOOKUP($A257,'Institution Evaluation'!$A$56:$K$345,10,0)&amp;""</f>
        <v/>
      </c>
      <c r="K257" s="48" t="str">
        <f>IF(VLOOKUP($A257,'Institution Evaluation'!$A$56:$K$345,10,0)=TRUE,'Auto Responses'!$J$3,"")</f>
        <v/>
      </c>
    </row>
    <row r="258" spans="1:13" ht="45" x14ac:dyDescent="0.2">
      <c r="A258" s="19" t="s">
        <v>662</v>
      </c>
      <c r="B258" s="18" t="str">
        <f>VLOOKUP($A258,Questions!$A$2:$X$333,2,0)</f>
        <v>Can the application be installed in a PCI DSS–compliant manner?</v>
      </c>
      <c r="C258" s="45" t="str">
        <f>VLOOKUP($A258,'Institution Evaluation'!$A$56:$K$345,3,0)&amp;""</f>
        <v/>
      </c>
      <c r="D258" s="45" t="str">
        <f>VLOOKUP($A258,'Institution Evaluation'!$A$56:$K$345,4,0)&amp;""</f>
        <v/>
      </c>
      <c r="E258" s="330" t="str">
        <f>VLOOKUP($A258,'Institution Evaluation'!$A$56:$K$345,5,0)&amp;""</f>
        <v>Refer to PCI DSS Security Standards for supplemental guidance in this section</v>
      </c>
      <c r="F258" s="188" t="str">
        <f>VLOOKUP($A258,'Institution Evaluation'!$A$56:$K$345,6,0)&amp;""</f>
        <v/>
      </c>
      <c r="G258" s="30" t="str">
        <f>VLOOKUP($A258,'Institution Evaluation'!$A$56:$K$345,7,0)&amp;""</f>
        <v>Yes</v>
      </c>
      <c r="H258" s="185" t="str">
        <f>VLOOKUP($A258,'Institution Evaluation'!$A$56:$K$345,8,0)&amp;""</f>
        <v/>
      </c>
      <c r="I258" s="45" t="str">
        <f>VLOOKUP($A258,'Institution Evaluation'!$A$56:$K$345,9,0)&amp;""</f>
        <v>Minor Importance</v>
      </c>
      <c r="J258" s="186" t="str">
        <f>VLOOKUP($A258,'Institution Evaluation'!$A$56:$K$345,10,0)&amp;""</f>
        <v/>
      </c>
      <c r="K258" s="48" t="str">
        <f>IF(VLOOKUP($A258,'Institution Evaluation'!$A$56:$K$345,10,0)=TRUE,'Auto Responses'!$J$3,"")</f>
        <v/>
      </c>
    </row>
    <row r="259" spans="1:13" ht="71.25" x14ac:dyDescent="0.2">
      <c r="A259" s="19" t="s">
        <v>663</v>
      </c>
      <c r="B259" s="18" t="str">
        <f>VLOOKUP($A259,Questions!$A$2:$X$333,2,0)</f>
        <v>Include documentation describing the system's abilities to comply with the PCI DSS and any features or capabilities of the system that must be added or changed in order to operate in compliance with the standards.</v>
      </c>
      <c r="C259" s="45" t="str">
        <f>VLOOKUP($A259,'Institution Evaluation'!$A$56:$K$345,3,0)&amp;""</f>
        <v/>
      </c>
      <c r="D259" s="45" t="str">
        <f>VLOOKUP($A259,'Institution Evaluation'!$A$56:$K$345,4,0)&amp;""</f>
        <v/>
      </c>
      <c r="E259" s="330" t="str">
        <f>VLOOKUP($A259,'Institution Evaluation'!$A$56:$K$345,5,0)&amp;""</f>
        <v>Refer to PCI DSS Security Standards for supplemental guidance in this section</v>
      </c>
      <c r="F259" s="188" t="str">
        <f>VLOOKUP($A259,'Institution Evaluation'!$A$56:$K$345,6,0)&amp;""</f>
        <v/>
      </c>
      <c r="G259" s="30" t="str">
        <f>VLOOKUP($A259,'Institution Evaluation'!$A$56:$K$345,7,0)&amp;""</f>
        <v>Not scored</v>
      </c>
      <c r="H259" s="185" t="str">
        <f>VLOOKUP($A259,'Institution Evaluation'!$A$56:$K$345,8,0)&amp;""</f>
        <v/>
      </c>
      <c r="I259" s="45" t="str">
        <f>VLOOKUP($A259,'Institution Evaluation'!$A$56:$K$345,9,0)&amp;""</f>
        <v/>
      </c>
      <c r="J259" s="186" t="str">
        <f>VLOOKUP($A259,'Institution Evaluation'!$A$56:$K$345,10,0)&amp;""</f>
        <v/>
      </c>
      <c r="K259" s="48" t="str">
        <f>IF(VLOOKUP($A259,'Institution Evaluation'!$A$56:$K$345,10,0)=TRUE,'Auto Responses'!$J$3,"")</f>
        <v/>
      </c>
      <c r="M259" s="238" t="s">
        <v>1449</v>
      </c>
    </row>
    <row r="260" spans="1:13" ht="47.25" customHeight="1" x14ac:dyDescent="0.2">
      <c r="A260" s="267" t="s">
        <v>1507</v>
      </c>
    </row>
    <row r="261" spans="1:13" ht="34.5" hidden="1" customHeight="1" x14ac:dyDescent="0.2"/>
    <row r="262" spans="1:13" ht="34.5" hidden="1" customHeight="1" x14ac:dyDescent="0.2"/>
    <row r="263" spans="1:13" ht="34.5" hidden="1" customHeight="1" x14ac:dyDescent="0.2"/>
    <row r="264" spans="1:13" ht="34.5" hidden="1" customHeight="1" x14ac:dyDescent="0.2"/>
    <row r="265" spans="1:13" ht="34.5" hidden="1" customHeight="1" x14ac:dyDescent="0.2"/>
  </sheetData>
  <mergeCells count="1">
    <mergeCell ref="A19:C19"/>
  </mergeCells>
  <phoneticPr fontId="31"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A35:K44 B2:J10 A3:A10 B20:I31" xr:uid="{2555B969-D0D6-4640-A68B-2B178F3C9EA5}"/>
    <dataValidation allowBlank="1" showInputMessage="1" showErrorMessage="1" promptTitle="Warning!" prompt="The HECVAT is built using a number of complex formulas. Editing this cell can break the functionality of the tool. " sqref="G247 I46:I120 G46:G120 I130 G130 I135 G135 I142 G142 I145 G145 I150 G150 I160 G160 I164 G164 I170 G170 I173 G173 I189 G189 I192 G192 I199 G199 I207 G207 I212 G212 I217 G217 I247 A45:E120" xr:uid="{2C8E55E6-5CCD-497E-AD40-1159ED4F899F}"/>
  </dataValidations>
  <hyperlinks>
    <hyperlink ref="G21" location="'Privacy Analyst Evaluation'!A47" display="'Privacy Analyst Evaluation'!A47" xr:uid="{63AE7EE6-A856-4AFE-84E3-761A880419C2}"/>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 ref="G22:G30" location="'Privacy Analyst Evaluation'!A47" display="'Privacy Analyst Evaluation'!A47" xr:uid="{1251A0D8-0A08-4A63-B905-D6DAFC387987}"/>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85"/>
  <sheetViews>
    <sheetView showZeros="0" tabSelected="1" topLeftCell="A2" zoomScale="80" zoomScaleNormal="80" workbookViewId="0">
      <selection activeCell="A2" sqref="A2"/>
    </sheetView>
  </sheetViews>
  <sheetFormatPr defaultColWidth="0" defaultRowHeight="15" zeroHeight="1" x14ac:dyDescent="0.2"/>
  <cols>
    <col min="1" max="1" width="11.09765625" style="55" customWidth="1"/>
    <col min="2" max="2" width="57.796875" style="52" customWidth="1"/>
    <col min="3" max="3" width="71.09765625" style="53" customWidth="1"/>
    <col min="4" max="4" width="80.296875" style="54" customWidth="1"/>
    <col min="5" max="5" width="6.59765625" style="55" customWidth="1"/>
    <col min="6" max="6" width="0" style="55" hidden="1" customWidth="1"/>
    <col min="7" max="16384" width="6.59765625" style="55" hidden="1"/>
  </cols>
  <sheetData>
    <row r="1" spans="1:5" ht="180" hidden="1" x14ac:dyDescent="0.2">
      <c r="A1" s="55" t="s">
        <v>1453</v>
      </c>
    </row>
    <row r="2" spans="1:5" ht="24.75" x14ac:dyDescent="0.2">
      <c r="A2" s="181" t="s">
        <v>942</v>
      </c>
      <c r="B2" s="181"/>
      <c r="C2" s="181"/>
      <c r="D2" s="268" t="s">
        <v>1507</v>
      </c>
    </row>
    <row r="3" spans="1:5" ht="18" x14ac:dyDescent="0.2">
      <c r="A3" s="233" t="s">
        <v>1031</v>
      </c>
      <c r="B3" s="65"/>
      <c r="C3" s="65"/>
      <c r="D3" s="269"/>
    </row>
    <row r="4" spans="1:5" ht="18" x14ac:dyDescent="0.2">
      <c r="A4" s="235" t="s">
        <v>1509</v>
      </c>
      <c r="B4" s="65"/>
      <c r="C4" s="65"/>
      <c r="D4" s="269"/>
    </row>
    <row r="5" spans="1:5" s="237" customFormat="1" ht="18" x14ac:dyDescent="0.2">
      <c r="A5" s="236" t="s">
        <v>1446</v>
      </c>
      <c r="B5" s="65"/>
      <c r="C5" s="65"/>
      <c r="D5" s="269"/>
    </row>
    <row r="6" spans="1:5" s="237" customFormat="1" ht="18" x14ac:dyDescent="0.2">
      <c r="A6" s="236" t="s">
        <v>1447</v>
      </c>
      <c r="B6" s="65"/>
      <c r="C6" s="65"/>
      <c r="D6" s="270"/>
    </row>
    <row r="7" spans="1:5" ht="18" x14ac:dyDescent="0.2">
      <c r="A7" s="234" t="str">
        <f>VLOOKUP(LEFT($A8,4),'Auto Responses'!$N$4:$O$38,2,0)&amp;""</f>
        <v xml:space="preserve"> General Information</v>
      </c>
      <c r="B7" s="63"/>
      <c r="C7" s="56" t="str">
        <f>Questions!$S$2</f>
        <v>Reason for Question</v>
      </c>
      <c r="D7" s="56" t="str">
        <f>Questions!$T$2</f>
        <v>Follow-Up Inquiries/Responses</v>
      </c>
    </row>
    <row r="8" spans="1:5" x14ac:dyDescent="0.2">
      <c r="A8" s="57" t="s">
        <v>21</v>
      </c>
      <c r="B8" s="57" t="str">
        <f>VLOOKUP($A8,Questions!$A$3:$X$333,2,0)&amp;""</f>
        <v>Solution Provider Name</v>
      </c>
      <c r="C8" s="57" t="str">
        <f>VLOOKUP($A8,Questions!$A$3:$X$333,19,0)&amp;""</f>
        <v/>
      </c>
      <c r="D8" s="57" t="str">
        <f>VLOOKUP($A8,Questions!$A$3:$X$333,20,0)&amp;""</f>
        <v/>
      </c>
    </row>
    <row r="9" spans="1:5" x14ac:dyDescent="0.2">
      <c r="A9" s="57" t="s">
        <v>24</v>
      </c>
      <c r="B9" s="57" t="str">
        <f>VLOOKUP($A9,Questions!$A$3:$X$333,2,0)&amp;""</f>
        <v>Solution Name</v>
      </c>
      <c r="C9" s="57" t="str">
        <f>VLOOKUP($A9,Questions!$A$3:$X$333,19,0)&amp;""</f>
        <v/>
      </c>
      <c r="D9" s="57" t="str">
        <f>VLOOKUP($A9,Questions!$A$3:$X$333,20,0)&amp;""</f>
        <v/>
      </c>
    </row>
    <row r="10" spans="1:5" x14ac:dyDescent="0.2">
      <c r="A10" s="57" t="s">
        <v>25</v>
      </c>
      <c r="B10" s="57" t="str">
        <f>VLOOKUP($A10,Questions!$A$3:$X$333,2,0)&amp;""</f>
        <v>Solution Description</v>
      </c>
      <c r="C10" s="57" t="str">
        <f>VLOOKUP($A10,Questions!$A$3:$X$333,19,0)&amp;""</f>
        <v/>
      </c>
      <c r="D10" s="57" t="str">
        <f>VLOOKUP($A10,Questions!$A$3:$X$333,20,0)&amp;""</f>
        <v/>
      </c>
    </row>
    <row r="11" spans="1:5" x14ac:dyDescent="0.2">
      <c r="A11" s="57" t="s">
        <v>26</v>
      </c>
      <c r="B11" s="57" t="str">
        <f>VLOOKUP($A11,Questions!$A$3:$X$333,2,0)&amp;""</f>
        <v>Solution Provider Contact Name</v>
      </c>
      <c r="C11" s="57" t="str">
        <f>VLOOKUP($A11,Questions!$A$3:$X$333,19,0)&amp;""</f>
        <v/>
      </c>
      <c r="D11" s="57" t="str">
        <f>VLOOKUP($A11,Questions!$A$3:$X$333,20,0)&amp;""</f>
        <v/>
      </c>
    </row>
    <row r="12" spans="1:5" x14ac:dyDescent="0.2">
      <c r="A12" s="57" t="s">
        <v>27</v>
      </c>
      <c r="B12" s="57" t="str">
        <f>VLOOKUP($A12,Questions!$A$3:$X$333,2,0)&amp;""</f>
        <v>Solution Provider Contact Title</v>
      </c>
      <c r="C12" s="57" t="str">
        <f>VLOOKUP($A12,Questions!$A$3:$X$333,19,0)&amp;""</f>
        <v/>
      </c>
      <c r="D12" s="57" t="str">
        <f>VLOOKUP($A12,Questions!$A$3:$X$333,20,0)&amp;""</f>
        <v/>
      </c>
    </row>
    <row r="13" spans="1:5" x14ac:dyDescent="0.2">
      <c r="A13" s="57" t="s">
        <v>28</v>
      </c>
      <c r="B13" s="57" t="str">
        <f>VLOOKUP($A13,Questions!$A$3:$X$333,2,0)&amp;""</f>
        <v>Solution Provider Contact Email</v>
      </c>
      <c r="C13" s="57" t="str">
        <f>VLOOKUP($A13,Questions!$A$3:$X$333,19,0)&amp;""</f>
        <v/>
      </c>
      <c r="D13" s="57" t="str">
        <f>VLOOKUP($A13,Questions!$A$3:$X$333,20,0)&amp;""</f>
        <v/>
      </c>
    </row>
    <row r="14" spans="1:5" x14ac:dyDescent="0.2">
      <c r="A14" s="57" t="s">
        <v>29</v>
      </c>
      <c r="B14" s="57" t="str">
        <f>VLOOKUP($A14,Questions!$A$3:$X$333,2,0)&amp;""</f>
        <v>Solution Provider Contact Phone Number</v>
      </c>
      <c r="C14" s="57" t="str">
        <f>VLOOKUP($A14,Questions!$A$3:$X$333,19,0)&amp;""</f>
        <v/>
      </c>
      <c r="D14" s="57" t="str">
        <f>VLOOKUP($A14,Questions!$A$3:$X$333,20,0)&amp;""</f>
        <v/>
      </c>
    </row>
    <row r="15" spans="1:5" x14ac:dyDescent="0.2">
      <c r="A15" s="57" t="s">
        <v>30</v>
      </c>
      <c r="B15" s="57" t="str">
        <f>VLOOKUP($A15,Questions!$A$3:$X$333,2,0)&amp;""</f>
        <v>Country of Company Headquarters</v>
      </c>
      <c r="C15" s="57" t="str">
        <f>VLOOKUP($A15,Questions!$A$3:$X$333,19,0)&amp;""</f>
        <v/>
      </c>
      <c r="D15" s="57" t="str">
        <f>VLOOKUP($A15,Questions!$A$3:$X$333,20,0)&amp;""</f>
        <v/>
      </c>
    </row>
    <row r="16" spans="1:5" x14ac:dyDescent="0.2">
      <c r="A16" s="57" t="s">
        <v>32</v>
      </c>
      <c r="B16" s="57" t="str">
        <f>VLOOKUP($A16,Questions!$A$3:$X$333,2,0)&amp;""</f>
        <v>Employee Work Locations (all)</v>
      </c>
      <c r="C16" s="57" t="str">
        <f>VLOOKUP($A16,Questions!$A$3:$X$333,19,0)&amp;""</f>
        <v>Determines where solution provider employees will be physically located.</v>
      </c>
      <c r="D16" s="57" t="str">
        <f>VLOOKUP($A16,Questions!$A$3:$X$333,20,0)&amp;""</f>
        <v>Follow-up inquiries will be institution/implementation specific.</v>
      </c>
      <c r="E16" s="241" t="s">
        <v>1454</v>
      </c>
    </row>
    <row r="17" spans="1:5" ht="18" x14ac:dyDescent="0.2">
      <c r="A17" s="63" t="str">
        <f>VLOOKUP(LEFT($A18,4),'Auto Responses'!$N$4:$O$38,2,0)&amp;""</f>
        <v xml:space="preserve"> Company Information</v>
      </c>
      <c r="B17" s="63"/>
      <c r="C17" s="56" t="str">
        <f>Questions!$S$2</f>
        <v>Reason for Question</v>
      </c>
      <c r="D17" s="56" t="str">
        <f>Questions!$T$2</f>
        <v>Follow-Up Inquiries/Responses</v>
      </c>
    </row>
    <row r="18" spans="1:5" ht="71.25" x14ac:dyDescent="0.2">
      <c r="A18" s="57" t="s">
        <v>35</v>
      </c>
      <c r="B18" s="57" t="str">
        <f>VLOOKUP($A18,Questions!$A$3:$X$333,2,0)&amp;""</f>
        <v>Do you have a dedicated software and system development team(s) (e.g., customer support, implementation, product management, etc.)?*</v>
      </c>
      <c r="C18" s="57"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57"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2">
      <c r="A19" s="57" t="s">
        <v>42</v>
      </c>
      <c r="B19" s="57" t="str">
        <f>VLOOKUP($A19,Questions!$A$3:$X$333,2,0)&amp;""</f>
        <v>Describe your organization’s business background and ownership structure, including all parent and subsidiary relationships.</v>
      </c>
      <c r="C19" s="57" t="str">
        <f>VLOOKUP($A19,Questions!$A$3:$X$333,19,0)&amp;""</f>
        <v>This information defines the scale of company (support, resources, skillsets), general information about the organization that may be concerning.</v>
      </c>
      <c r="D19" s="57" t="str">
        <f>VLOOKUP($A19,Questions!$A$3:$X$333,20,0)&amp;""</f>
        <v>Follow-up responses to this one are normally unique to their response. Vague answers here usually result in some footprinting of a solution provider to determine their "reputation."</v>
      </c>
    </row>
    <row r="20" spans="1:5" ht="67.5" customHeight="1" x14ac:dyDescent="0.2">
      <c r="A20" s="57" t="s">
        <v>44</v>
      </c>
      <c r="B20" s="57" t="str">
        <f>VLOOKUP($A20,Questions!$A$3:$X$333,2,0)&amp;""</f>
        <v>Have you operated without unplanned disruptions to this solution in the past 12 months?</v>
      </c>
      <c r="C20" s="57" t="str">
        <f>VLOOKUP($A20,Questions!$A$3:$X$333,19,0)&amp;""</f>
        <v>We want transparency from the solution provider, and an honest answer to this question, regardless of the response, is a good step in building trust.</v>
      </c>
      <c r="D20" s="57"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2">
      <c r="A21" s="57" t="s">
        <v>45</v>
      </c>
      <c r="B21" s="57" t="str">
        <f>VLOOKUP($A21,Questions!$A$3:$X$333,2,0)&amp;""</f>
        <v>Do you have a dedicated information security staff or office?</v>
      </c>
      <c r="C21" s="57"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57"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
      <c r="A22" s="57" t="s">
        <v>47</v>
      </c>
      <c r="B22" s="57" t="str">
        <f>VLOOKUP($A22,Questions!$A$3:$X$333,2,0)&amp;""</f>
        <v>Use this area to share information about your environment that will assist those who are assessing your company's data security program.</v>
      </c>
      <c r="C22" s="57"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57"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41" t="s">
        <v>1454</v>
      </c>
    </row>
    <row r="23" spans="1:5" ht="18" x14ac:dyDescent="0.2">
      <c r="A23" s="63" t="str">
        <f>VLOOKUP(LEFT($A24,4),'Auto Responses'!$N$4:$O$38,2,0)&amp;""</f>
        <v xml:space="preserve"> Required Questions</v>
      </c>
      <c r="B23" s="63"/>
      <c r="C23" s="56" t="str">
        <f>Questions!$S$2</f>
        <v>Reason for Question</v>
      </c>
      <c r="D23" s="56" t="str">
        <f>Questions!$T$2</f>
        <v>Follow-Up Inquiries/Responses</v>
      </c>
    </row>
    <row r="24" spans="1:5" s="301" customFormat="1" ht="18" x14ac:dyDescent="0.2">
      <c r="A24" s="302" t="s">
        <v>1515</v>
      </c>
      <c r="B24" s="299"/>
      <c r="C24" s="300"/>
      <c r="D24" s="300"/>
    </row>
    <row r="25" spans="1:5" ht="36.75" customHeight="1" x14ac:dyDescent="0.2">
      <c r="A25" s="57" t="s">
        <v>48</v>
      </c>
      <c r="B25" s="57" t="str">
        <f>VLOOKUP($A25,Questions!$A$3:$X$333,2,0)&amp;""</f>
        <v>Are you offering a cloud-based product?</v>
      </c>
      <c r="C25" s="57" t="s">
        <v>1482</v>
      </c>
      <c r="D25" s="57" t="str">
        <f>VLOOKUP($A25,Questions!$A$3:$X$333,19,0)&amp;""</f>
        <v/>
      </c>
    </row>
    <row r="26" spans="1:5" ht="38.25" customHeight="1" x14ac:dyDescent="0.2">
      <c r="A26" s="57" t="s">
        <v>51</v>
      </c>
      <c r="B26" s="57" t="str">
        <f>VLOOKUP($A26,Questions!$A$3:$X$333,2,0)&amp;""</f>
        <v>Does your product or service have an interface?</v>
      </c>
      <c r="C26" s="57" t="s">
        <v>1483</v>
      </c>
      <c r="D26" s="57" t="str">
        <f>VLOOKUP($A26,Questions!$A$3:$X$333,19,0)&amp;""</f>
        <v/>
      </c>
    </row>
    <row r="27" spans="1:5" x14ac:dyDescent="0.2">
      <c r="A27" s="57" t="s">
        <v>54</v>
      </c>
      <c r="B27" s="57" t="str">
        <f>VLOOKUP($A27,Questions!$A$3:$X$333,2,0)&amp;""</f>
        <v>Are you providing consulting services?</v>
      </c>
      <c r="C27" s="57" t="s">
        <v>1484</v>
      </c>
      <c r="D27" s="57" t="str">
        <f>VLOOKUP($A27,Questions!$A$3:$X$333,19,0)&amp;""</f>
        <v/>
      </c>
    </row>
    <row r="28" spans="1:5" ht="28.5" x14ac:dyDescent="0.2">
      <c r="A28" s="57" t="s">
        <v>58</v>
      </c>
      <c r="B28" s="57" t="str">
        <f>VLOOKUP($A28,Questions!$A$3:$X$333,2,0)&amp;""</f>
        <v>Does your solution have AI features, or are there plans to implement AI features in the next 12 months?</v>
      </c>
      <c r="C28" s="57" t="s">
        <v>1485</v>
      </c>
      <c r="D28" s="57" t="str">
        <f>VLOOKUP($A28,Questions!$A$3:$X$333,19,0)&amp;""</f>
        <v/>
      </c>
    </row>
    <row r="29" spans="1:5" ht="42.75" x14ac:dyDescent="0.2">
      <c r="A29" s="57" t="s">
        <v>61</v>
      </c>
      <c r="B29" s="57" t="str">
        <f>VLOOKUP($A29,Questions!$A$3:$X$333,2,0)&amp;""</f>
        <v>Does your solution process protected health information (PHI) or any data covered by the Health Insurance Portability and Accountability Act (HIPAA)?</v>
      </c>
      <c r="C29" s="57" t="s">
        <v>1486</v>
      </c>
      <c r="D29" s="57" t="str">
        <f>VLOOKUP($A29,Questions!$A$3:$X$333,19,0)&amp;""</f>
        <v/>
      </c>
    </row>
    <row r="30" spans="1:5" ht="33.75" customHeight="1" x14ac:dyDescent="0.2">
      <c r="A30" s="57" t="s">
        <v>64</v>
      </c>
      <c r="B30" s="57" t="str">
        <f>VLOOKUP($A30,Questions!$A$3:$X$333,2,0)&amp;""</f>
        <v>Is the solution designed to process, store, or transmit credit card information?</v>
      </c>
      <c r="C30" s="57" t="s">
        <v>1487</v>
      </c>
      <c r="D30" s="57" t="str">
        <f>VLOOKUP($A30,Questions!$A$3:$X$333,19,0)&amp;""</f>
        <v/>
      </c>
    </row>
    <row r="31" spans="1:5" ht="66.75" customHeight="1" x14ac:dyDescent="0.2">
      <c r="A31" s="57" t="s">
        <v>67</v>
      </c>
      <c r="B31" s="57"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57" t="s">
        <v>1488</v>
      </c>
      <c r="D31" s="57" t="str">
        <f>VLOOKUP($A31,Questions!$A$3:$X$333,19,0)&amp;""</f>
        <v/>
      </c>
      <c r="E31" s="241" t="s">
        <v>1454</v>
      </c>
    </row>
    <row r="32" spans="1:5" ht="18" x14ac:dyDescent="0.2">
      <c r="A32" s="63" t="str">
        <f>VLOOKUP(LEFT($A33,4),'Auto Responses'!$N$4:$O$38,2,0)&amp;""</f>
        <v xml:space="preserve"> Documentation</v>
      </c>
      <c r="B32" s="63"/>
      <c r="C32" s="56" t="str">
        <f>Questions!$S$2</f>
        <v>Reason for Question</v>
      </c>
      <c r="D32" s="56" t="str">
        <f>Questions!$T$2</f>
        <v>Follow-Up Inquiries/Responses</v>
      </c>
    </row>
    <row r="33" spans="1:5" ht="57" customHeight="1" x14ac:dyDescent="0.2">
      <c r="A33" s="57" t="s">
        <v>70</v>
      </c>
      <c r="B33" s="57" t="str">
        <f>VLOOKUP($A33,Questions!$A$3:$X$333,2,0)&amp;""</f>
        <v>Do you have a well-documented business continuity plan (BCP), with a clear owner, that is tested annually?*</v>
      </c>
      <c r="C33" s="57" t="str">
        <f>VLOOKUP($A33,Questions!$A$3:$X$333,19,0)&amp;""</f>
        <v>Testing a business continuity plan is an important action that improves the efficiency and accuracy of a solution provider's continuity plans. Vague responses to this question should be met with concern and appropriate follow-up, based on your institutions risk tolerance.</v>
      </c>
      <c r="D33" s="57" t="str">
        <f>VLOOKUP($A33,Questions!$A$3:$X$333,20,0)&amp;""</f>
        <v/>
      </c>
    </row>
    <row r="34" spans="1:5" ht="57" customHeight="1" x14ac:dyDescent="0.2">
      <c r="A34" s="57" t="s">
        <v>76</v>
      </c>
      <c r="B34" s="57" t="str">
        <f>VLOOKUP($A34,Questions!$A$3:$X$333,2,0)&amp;""</f>
        <v>Do you have a well-documented disaster recovery plan (DRP), with a clear owner, that is tested annually?*</v>
      </c>
      <c r="C34" s="57" t="str">
        <f>VLOOKUP($A34,Questions!$A$3:$X$333,19,0)&amp;""</f>
        <v>Testing a disaster recovery plan is an important action that improves the efficiency and accuracy of a solution provider's recovery plans. Vague responses to this question should be met with concern and appropriate follow-up, based on your institutions risk tolerance.</v>
      </c>
      <c r="D34" s="57" t="str">
        <f>VLOOKUP($A34,Questions!$A$3:$X$333,20,0)&amp;""</f>
        <v/>
      </c>
    </row>
    <row r="35" spans="1:5" ht="35.25" customHeight="1" x14ac:dyDescent="0.2">
      <c r="A35" s="57" t="s">
        <v>77</v>
      </c>
      <c r="B35" s="57" t="str">
        <f>VLOOKUP($A35,Questions!$A$3:$X$333,2,0)&amp;""</f>
        <v>Have you undergone a SSAE 18/SOC 2 audit?</v>
      </c>
      <c r="C35" s="57" t="str">
        <f>VLOOKUP($A35,Questions!$A$3:$X$333,19,0)&amp;""</f>
        <v>SSAE 18 and SOC2 audits are standard documentation, relevant to institutions requiring a solution provider to undergo SSAE 18 audits.</v>
      </c>
      <c r="D35" s="57" t="str">
        <f>VLOOKUP($A35,Questions!$A$3:$X$333,20,0)&amp;""</f>
        <v>Follow-up inquiries for SSAE 18 content will be institution/implementation specific.</v>
      </c>
    </row>
    <row r="36" spans="1:5" ht="57" x14ac:dyDescent="0.2">
      <c r="A36" s="57" t="s">
        <v>80</v>
      </c>
      <c r="B36" s="57" t="str">
        <f>VLOOKUP($A36,Questions!$A$3:$X$333,2,0)&amp;""</f>
        <v>Do you conform with a specific industry standard security framework (e.g., NIST Cybersecurity Framework, CIS Controls, ISO 27001, etc.)?</v>
      </c>
      <c r="C36" s="57" t="str">
        <f>VLOOKUP($A36,Questions!$A$3:$X$333,19,0)&amp;""</f>
        <v>The details of the standard are not the focus here; it is the fact that a solution provider builds their environment around a standard and that they continually evaluate and assess their security programs.</v>
      </c>
      <c r="D36" s="57"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2">
      <c r="A37" s="57" t="s">
        <v>84</v>
      </c>
      <c r="B37" s="57" t="str">
        <f>VLOOKUP($A37,Questions!$A$3:$X$333,2,0)&amp;""</f>
        <v>Can you provide overall system and/or application architecture diagrams, including a full description of the data flow for all components of the system?</v>
      </c>
      <c r="C37" s="57"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57"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2">
      <c r="A38" s="57" t="s">
        <v>88</v>
      </c>
      <c r="B38" s="57" t="str">
        <f>VLOOKUP($A38,Questions!$A$3:$X$333,2,0)&amp;""</f>
        <v>Does your organization have a data privacy policy?</v>
      </c>
      <c r="C38" s="57"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57"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
      <c r="A39" s="57" t="s">
        <v>92</v>
      </c>
      <c r="B39" s="57" t="str">
        <f>VLOOKUP($A39,Questions!$A$3:$X$333,2,0)&amp;""</f>
        <v>Do you have a documented, and currently implemented, employee onboarding and offboarding policy?</v>
      </c>
      <c r="C39" s="57"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57" t="str">
        <f>VLOOKUP($A39,Questions!$A$3:$X$333,20,0)&amp;""</f>
        <v>Unsatisfactory answers should be met with questions about access control authority, roles and responsibilities (of access grantors), administrative privileges within the solution provider's infrastructure(s), etc.</v>
      </c>
      <c r="E39" s="241" t="s">
        <v>1454</v>
      </c>
    </row>
    <row r="40" spans="1:5" ht="18" x14ac:dyDescent="0.2">
      <c r="A40" s="63" t="str">
        <f>VLOOKUP(LEFT($A41,4),'Auto Responses'!$N$4:$O$38,2,0)&amp;""</f>
        <v xml:space="preserve"> Assessment of Third Parties</v>
      </c>
      <c r="B40" s="63"/>
      <c r="C40" s="56" t="str">
        <f>Questions!$S$2</f>
        <v>Reason for Question</v>
      </c>
      <c r="D40" s="56" t="str">
        <f>Questions!$T$2</f>
        <v>Follow-Up Inquiries/Responses</v>
      </c>
    </row>
    <row r="41" spans="1:5" ht="57" x14ac:dyDescent="0.2">
      <c r="A41" s="57" t="s">
        <v>130</v>
      </c>
      <c r="B41" s="57" t="str">
        <f>VLOOKUP($A41,Questions!$A$3:$X$333,2,0)&amp;""</f>
        <v>Do you perform security assessments of third-party companies with which you share data (e.g., hosting providers, cloud services, PaaS, IaaS, SaaS)?*</v>
      </c>
      <c r="C41" s="57" t="str">
        <f>VLOOKUP($A41,Questions!$A$3:$X$333,19,0)&amp;""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41" s="57" t="str">
        <f>VLOOKUP($A41,Questions!$A$3:$X$333,20,0)&amp;""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42" spans="1:5" ht="42.75" x14ac:dyDescent="0.2">
      <c r="A42" s="57" t="s">
        <v>134</v>
      </c>
      <c r="B42" s="57" t="str">
        <f>VLOOKUP($A42,Questions!$A$3:$X$333,2,0)&amp;""</f>
        <v>Do you have contractual language in place with third parties governing access to institutional data?*</v>
      </c>
      <c r="C42" s="57" t="str">
        <f>VLOOKUP($A42,Questions!$A$3:$X$333,19,0)&amp;""</f>
        <v>The sharing of institutional data to fourth-parties may increase the risk to the institution and thus, we want to know who gets what data, when they get that data, and why they get that data.</v>
      </c>
      <c r="D42" s="57" t="str">
        <f>VLOOKUP($A42,Questions!$A$3:$X$333,20,0)&amp;""</f>
        <v>Follow-up inquiries concerning third-party data sharing will be institution/implementation specific.</v>
      </c>
    </row>
    <row r="43" spans="1:5" ht="28.5" x14ac:dyDescent="0.2">
      <c r="A43" s="57" t="s">
        <v>136</v>
      </c>
      <c r="B43" s="57" t="str">
        <f>VLOOKUP($A43,Questions!$A$3:$X$333,2,0)&amp;""</f>
        <v>Do the contracts in place with these third parties address liability in the event of a data breach?*</v>
      </c>
      <c r="C43" s="57" t="str">
        <f>VLOOKUP($A43,Questions!$A$3:$X$333,19,0)&amp;""</f>
        <v>Knowing the protections and legal agreements in place for third-party data sharing may assist analysts in determining residual risk.</v>
      </c>
      <c r="D43" s="57" t="str">
        <f>VLOOKUP($A43,Questions!$A$3:$X$333,20,0)&amp;""</f>
        <v>Follow-up inquiries concerning legal agreements with third parties will be institution/implementation specific.</v>
      </c>
    </row>
    <row r="44" spans="1:5" ht="114" x14ac:dyDescent="0.2">
      <c r="A44" s="57" t="s">
        <v>137</v>
      </c>
      <c r="B44" s="57" t="str">
        <f>VLOOKUP($A44,Questions!$A$3:$X$333,2,0)&amp;""</f>
        <v>Do you have an implemented third-party management strategy?*</v>
      </c>
      <c r="C44" s="57" t="str">
        <f>VLOOKUP($A44,Questions!$A$3:$X$333,19,0)&amp;""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44" s="57" t="str">
        <f>VLOOKUP($A44,Questions!$A$3:$X$333,20,0)&amp;""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45" spans="1:5" ht="80.25" customHeight="1" x14ac:dyDescent="0.2">
      <c r="A45" s="57" t="s">
        <v>140</v>
      </c>
      <c r="B45" s="57" t="str">
        <f>VLOOKUP($A45,Questions!$A$3:$X$333,2,0)&amp;""</f>
        <v>Do you have a process and implemented procedures for managing your hardware supply chain (e.g., telecommunications equipment, export licensing, computing devices)?</v>
      </c>
      <c r="C45" s="57" t="str">
        <f>VLOOKUP($A45,Questions!$A$3:$X$333,19,0)&amp;""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45" s="57" t="str">
        <f>VLOOKUP($A45,Questions!$A$3:$X$333,20,0)&amp;""</f>
        <v>Follow-up inquiries concerning hardware supply chain will be institution/implementation specific.</v>
      </c>
    </row>
    <row r="46" spans="1:5" ht="18" x14ac:dyDescent="0.2">
      <c r="A46" s="63" t="str">
        <f>VLOOKUP(LEFT($A47,4),'Auto Responses'!$N$4:$O$38,2,0)&amp;""</f>
        <v xml:space="preserve"> Change Management</v>
      </c>
      <c r="B46" s="63"/>
      <c r="C46" s="56" t="str">
        <f>Questions!$S$2</f>
        <v>Reason for Question</v>
      </c>
      <c r="D46" s="56" t="str">
        <f>Questions!$T$2</f>
        <v>Follow-Up Inquiries/Responses</v>
      </c>
    </row>
    <row r="47" spans="1:5" ht="55.5" customHeight="1" x14ac:dyDescent="0.2">
      <c r="A47" s="57" t="s">
        <v>274</v>
      </c>
      <c r="B47" s="57" t="str">
        <f>VLOOKUP($A47,Questions!$A$3:$X$333,2,0)&amp;""</f>
        <v>Will the institution be notified of major changes to your environment that could impact the institution's security posture?*</v>
      </c>
      <c r="C47" s="57" t="str">
        <f>VLOOKUP($A47,Questions!$A$3:$X$333,19,0)&amp;""</f>
        <v>Notification expectations should be set earlier in the contract/assessment process. Timelines, correspondence medium, and playbook details are all aspects to keep in mind when assessing this response.</v>
      </c>
      <c r="D47" s="57" t="str">
        <f>VLOOKUP($A47,Questions!$A$3:$X$333,20,0)&amp;""</f>
        <v>If the solution provider's response does not cover the details outlined in the reasoning, follow up and get specific responses for each, as needed.</v>
      </c>
    </row>
    <row r="48" spans="1:5" ht="42.75" x14ac:dyDescent="0.2">
      <c r="A48" s="57" t="s">
        <v>279</v>
      </c>
      <c r="B48" s="57" t="str">
        <f>VLOOKUP($A48,Questions!$A$3:$X$333,2,0)&amp;""</f>
        <v>Does the system support client customizations from one release to another?*</v>
      </c>
      <c r="C48" s="57" t="str">
        <f>VLOOKUP($A48,Questions!$A$3:$X$333,19,0)&amp;""</f>
        <v>The solution provider's solution characteristics and the institution's use case will determine the relevancy of this question. The purpose of this question is to understand the underlying infrastructure and how it is maintained across all customers.</v>
      </c>
      <c r="D48" s="57" t="str">
        <f>VLOOKUP($A48,Questions!$A$3:$X$333,20,0)&amp;""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49" spans="1:5" ht="59.25" customHeight="1" x14ac:dyDescent="0.2">
      <c r="A49" s="57" t="s">
        <v>280</v>
      </c>
      <c r="B49" s="57" t="str">
        <f>VLOOKUP($A49,Questions!$A$3:$X$333,2,0)&amp;""</f>
        <v>Do you have an implemented system configuration management process (e.g., secure "gold" images, etc.)?*</v>
      </c>
      <c r="C49" s="57" t="str">
        <f>VLOOKUP($A49,Questions!$A$3:$X$333,19,0)&amp;""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49" s="57" t="str">
        <f>VLOOKUP($A49,Questions!$A$3:$X$333,20,0)&amp;""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50" spans="1:5" ht="42.75" x14ac:dyDescent="0.2">
      <c r="A50" s="57" t="s">
        <v>281</v>
      </c>
      <c r="B50" s="57" t="str">
        <f>VLOOKUP($A50,Questions!$A$3:$X$333,2,0)&amp;""</f>
        <v>Do you have a documented change management process?</v>
      </c>
      <c r="C50" s="57" t="str">
        <f>VLOOKUP($A50,Questions!$A$3:$X$333,19,0)&amp;""</f>
        <v>The lack of a change management function is indicative of immature program processes. Answers to this question can provide insight into how well their responses (on the HECVAT) represent their actual environment(s).</v>
      </c>
      <c r="D50" s="57" t="str">
        <f>VLOOKUP($A50,Questions!$A$3:$X$333,20,0)&amp;""</f>
        <v>If a weak response is given to this answer, response scrutiny should be increased. Questions about configuration management, system authority, and documentation are appropriate.</v>
      </c>
    </row>
    <row r="51" spans="1:5" ht="44.25" customHeight="1" x14ac:dyDescent="0.2">
      <c r="A51" s="57" t="s">
        <v>285</v>
      </c>
      <c r="B51" s="57" t="str">
        <f>VLOOKUP($A51,Questions!$A$3:$X$333,2,0)&amp;""</f>
        <v>Does your change management process minimally include authorization, impact analysis, testing, and validation before moving changes to production?</v>
      </c>
      <c r="C51" s="57" t="str">
        <f>VLOOKUP($A51,Questions!$A$3:$X$333,19,0)&amp;""</f>
        <v>This question outlines a mature change management process. Changes should be analyzed for impact, officially approved, tested, and performed by authorized users.</v>
      </c>
      <c r="D51" s="57" t="str">
        <f>VLOOKUP($A51,Questions!$A$3:$X$333,20,0)&amp;""</f>
        <v>If the solution provider's response does not cover the details outlined in the reasoning, follow up and get specific responses, as needed.</v>
      </c>
    </row>
    <row r="52" spans="1:5" ht="51" customHeight="1" x14ac:dyDescent="0.2">
      <c r="A52" s="57" t="s">
        <v>288</v>
      </c>
      <c r="B52" s="57" t="str">
        <f>VLOOKUP($A52,Questions!$A$3:$X$333,2,0)&amp;""</f>
        <v>Does your change management process verify that all required third-party libraries and dependencies are still supported with each major change?</v>
      </c>
      <c r="C52" s="57" t="str">
        <f>VLOOKUP($A52,Questions!$A$3:$X$333,19,0)&amp;""</f>
        <v>This question is fundamentally about supply chain. The solution provider should be able to document its procedures around tracking libraries maintained by third parties.</v>
      </c>
      <c r="D52" s="57" t="str">
        <f>VLOOKUP($A52,Questions!$A$3:$X$333,20,0)&amp;""</f>
        <v>If the solution provider's response does not cover the details outlined in the reasoning, follow-up and get specific responses for each, as needed.</v>
      </c>
    </row>
    <row r="53" spans="1:5" ht="39" customHeight="1" x14ac:dyDescent="0.2">
      <c r="A53" s="57" t="s">
        <v>292</v>
      </c>
      <c r="B53" s="57" t="str">
        <f>VLOOKUP($A53,Questions!$A$3:$X$333,2,0)&amp;""</f>
        <v>Do you have policy and procedure, currently implemented, managing how critical patches are applied to all systems and applications?</v>
      </c>
      <c r="C53" s="57" t="str">
        <f>VLOOKUP($A53,Questions!$A$3:$X$333,19,0)&amp;""</f>
        <v>Answers to this question will reveal the solution provider’s knowledge of their IT assets and their ability to respond to notifications about their systems and software.</v>
      </c>
      <c r="D53" s="57" t="str">
        <f>VLOOKUP($A53,Questions!$A$3:$X$333,20,0)&amp;""</f>
        <v>Follow-up inquiries for the solution provider’s patching practices will be institution/implementation specific.</v>
      </c>
    </row>
    <row r="54" spans="1:5" ht="63.75" customHeight="1" x14ac:dyDescent="0.2">
      <c r="A54" s="57" t="s">
        <v>296</v>
      </c>
      <c r="B54" s="57" t="str">
        <f>VLOOKUP($A54,Questions!$A$3:$X$333,2,0)&amp;""</f>
        <v>Have you implemented policies and procedures that guide how security risks are mitigated until patches can be applied?</v>
      </c>
      <c r="C54" s="57" t="str">
        <f>VLOOKUP($A54,Questions!$A$3:$X$333,19,0)&amp;""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54" s="57" t="str">
        <f>VLOOKUP($A54,Questions!$A$3:$X$333,20,0)&amp;""</f>
        <v>Follow-up inquiries for the solution providers patching practices will be institution/implementation specific.</v>
      </c>
    </row>
    <row r="55" spans="1:5" ht="71.25" customHeight="1" x14ac:dyDescent="0.2">
      <c r="A55" s="57" t="s">
        <v>299</v>
      </c>
      <c r="B55" s="57" t="str">
        <f>VLOOKUP($A55,Questions!$A$3:$X$333,2,0)&amp;""</f>
        <v>Do clients have the option to not participate in or postpone an upgrade to a new release?</v>
      </c>
      <c r="C55" s="57" t="str">
        <f>VLOOKUP($A55,Questions!$A$3:$X$333,19,0)&amp;""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55" s="57" t="str">
        <f>VLOOKUP($A55,Questions!$A$3:$X$333,20,0)&amp;""</f>
        <v>Follow-up inquiries for solution version releases will be institution/implementation specific.</v>
      </c>
    </row>
    <row r="56" spans="1:5" ht="51" customHeight="1" x14ac:dyDescent="0.2">
      <c r="A56" s="57" t="s">
        <v>302</v>
      </c>
      <c r="B56" s="57" t="str">
        <f>VLOOKUP($A56,Questions!$A$3:$X$333,2,0)&amp;""</f>
        <v>Do you have a fully implemented solution support strategy that defines how many concurrent versions you support?</v>
      </c>
      <c r="C56" s="57" t="str">
        <f>VLOOKUP($A56,Questions!$A$3:$X$333,19,0)&amp;""</f>
        <v>Supporting multiple versions of a solution is challenging. Understanding the solution provider’s strategy and resources will provide insight into its ability to adequately support their customers.</v>
      </c>
      <c r="D56" s="57" t="str">
        <f>VLOOKUP($A56,Questions!$A$3:$X$333,20,0)&amp;""</f>
        <v>Follow-up inquiries for the solution provider’s support of concurrent versions will be institution/implementation specific.</v>
      </c>
    </row>
    <row r="57" spans="1:5" ht="52.5" customHeight="1" x14ac:dyDescent="0.2">
      <c r="A57" s="57" t="s">
        <v>304</v>
      </c>
      <c r="B57" s="57" t="str">
        <f>VLOOKUP($A57,Questions!$A$3:$X$333,2,0)&amp;""</f>
        <v>Do you have a release schedule for product updates?</v>
      </c>
      <c r="C57" s="57" t="str">
        <f>VLOOKUP($A57,Questions!$A$3:$X$333,19,0)&amp;""</f>
        <v>Answers to this question will reveal the solution provider’s ability to plan in the short term. This is valuable information for customers so they can anticipate updates and potential bug fixes.</v>
      </c>
      <c r="D57" s="57" t="str">
        <f>VLOOKUP($A57,Questions!$A$3:$X$333,20,0)&amp;""</f>
        <v>Follow-up inquiries for the solution provider’s solution update practices will be institution/implementation specific.</v>
      </c>
    </row>
    <row r="58" spans="1:5" ht="28.5" x14ac:dyDescent="0.2">
      <c r="A58" s="57" t="s">
        <v>308</v>
      </c>
      <c r="B58" s="57" t="str">
        <f>VLOOKUP($A58,Questions!$A$3:$X$333,2,0)&amp;""</f>
        <v>Do you have a technology roadmap, for at least the next two years, for enhancements and bug fixes for the solution being assessed?</v>
      </c>
      <c r="C58" s="57" t="str">
        <f>VLOOKUP($A58,Questions!$A$3:$X$333,19,0)&amp;""</f>
        <v>Answers to this question will reveal the solution provider’s ability to plan for the future of their solution.</v>
      </c>
      <c r="D58" s="57" t="str">
        <f>VLOOKUP($A58,Questions!$A$3:$X$333,20,0)&amp;""</f>
        <v>Follow-up inquiries for the solution provider’s technology planning practices will be institution/implementation specific.</v>
      </c>
      <c r="E58" s="241" t="s">
        <v>1454</v>
      </c>
    </row>
    <row r="59" spans="1:5" ht="71.25" x14ac:dyDescent="0.2">
      <c r="A59" s="57" t="s">
        <v>311</v>
      </c>
      <c r="B59" s="57" t="str">
        <f>VLOOKUP($A59,Questions!$A$3:$X$333,2,0)&amp;""</f>
        <v>Can solution updates be completed without institutional involvement (i.e., technically or organizationally)?</v>
      </c>
      <c r="C59" s="57" t="str">
        <f>VLOOKUP($A59,Questions!$A$3:$X$333,19,0)&amp;""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59" s="57" t="str">
        <f>VLOOKUP($A59,Questions!$A$3:$X$333,20,0)&amp;""</f>
        <v>Vague responses to this question should be investigated further. Ask for additional documentation for customer responsibilities (in the context of information technology/security).</v>
      </c>
    </row>
    <row r="60" spans="1:5" ht="65.25" customHeight="1" x14ac:dyDescent="0.2">
      <c r="A60" s="57" t="s">
        <v>315</v>
      </c>
      <c r="B60" s="57" t="str">
        <f>VLOOKUP($A60,Questions!$A$3:$X$333,2,0)&amp;""</f>
        <v>Are upgrades or system changes installed during off-peak hours or in a manner that does not impact the customer?</v>
      </c>
      <c r="C60" s="57" t="str">
        <f>VLOOKUP($A60,Questions!$A$3:$X$333,19,0)&amp;""</f>
        <v>Restricting system updates to a standard maintenance timeframe is important for ensuring that changes to production systems do not impact operations. It’s also important for troubleshooting any problems that may occur as a result of the changes.</v>
      </c>
      <c r="D60" s="57" t="str">
        <f>VLOOKUP($A60,Questions!$A$3:$X$333,20,0)&amp;""</f>
        <v>If the solution provider's response does not cover the details outlined in the reasoning, follow up and get specific responses, as needed.</v>
      </c>
    </row>
    <row r="61" spans="1:5" ht="52.5" customHeight="1" x14ac:dyDescent="0.2">
      <c r="A61" s="57" t="s">
        <v>319</v>
      </c>
      <c r="B61" s="57" t="str">
        <f>VLOOKUP($A61,Questions!$A$3:$X$333,2,0)&amp;""</f>
        <v>Do procedures exist to provide that emergency changes are documented and authorized (including after-the-fact approval)?</v>
      </c>
      <c r="C61" s="57" t="str">
        <f>VLOOKUP($A61,Questions!$A$3:$X$333,19,0)&amp;""</f>
        <v>In the context of the CIA triad, this question is focused on system integrity, ensuring that system changes are only executed by authorized users. In the event of emergency changes, accountability and post-action review are expected.</v>
      </c>
      <c r="D61" s="57" t="str">
        <f>VLOOKUP($A61,Questions!$A$3:$X$333,20,0)&amp;""</f>
        <v>Follow up with a robust question set if a solution provider cannot clearly state full control of the integrity of their system(s).</v>
      </c>
    </row>
    <row r="62" spans="1:5" ht="66.75" customHeight="1" x14ac:dyDescent="0.2">
      <c r="A62" s="57" t="s">
        <v>321</v>
      </c>
      <c r="B62" s="57" t="str">
        <f>VLOOKUP($A62,Questions!$A$3:$X$333,2,0)&amp;""</f>
        <v>Do you have a systems management and configuration strategy that encompasses servers, appliances, cloud services, applications, and mobile devices (company and employee owned)?</v>
      </c>
      <c r="C62" s="57" t="str">
        <f>VLOOKUP($A62,Questions!$A$3:$X$333,19,0)&amp;""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2" s="57" t="str">
        <f>VLOOKUP($A62,Questions!$A$3:$X$333,20,0)&amp;""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3" spans="1:5" ht="18" x14ac:dyDescent="0.2">
      <c r="A63" s="63" t="str">
        <f>VLOOKUP(LEFT($A64,4),'Auto Responses'!$N$4:$O$38,2,0)&amp;""</f>
        <v xml:space="preserve"> Policies, Processes, and Procedures</v>
      </c>
      <c r="B63" s="63"/>
      <c r="C63" s="56" t="str">
        <f>Questions!$S$2</f>
        <v>Reason for Question</v>
      </c>
      <c r="D63" s="56" t="str">
        <f>Questions!$T$2</f>
        <v>Follow-Up Inquiries/Responses</v>
      </c>
    </row>
    <row r="64" spans="1:5" ht="75" customHeight="1" x14ac:dyDescent="0.2">
      <c r="A64" s="57" t="s">
        <v>503</v>
      </c>
      <c r="B64" s="57" t="str">
        <f>VLOOKUP($A64,Questions!$A$3:$X$333,2,0)&amp;""</f>
        <v>Do you have a documented patch management process?*</v>
      </c>
      <c r="C64" s="57" t="str">
        <f>VLOOKUP($A64,Questions!$A$3:$X$333,19,0)&amp;""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64" s="57" t="str">
        <f>VLOOKUP($A64,Questions!$A$3:$X$333,20,0)&amp;""</f>
        <v>Follow up with a robust question set if the solution provider cannot clearly state full control of their system patching strategy. Questions about patch testing, testing environments, threat mitigation, incident remediation, etc., are appropriate.</v>
      </c>
      <c r="E64" s="241" t="s">
        <v>1454</v>
      </c>
    </row>
    <row r="65" spans="1:5" ht="49.5" customHeight="1" x14ac:dyDescent="0.2">
      <c r="A65" s="57" t="s">
        <v>504</v>
      </c>
      <c r="B65" s="57" t="str">
        <f>VLOOKUP($A65,Questions!$A$3:$X$333,2,0)&amp;""</f>
        <v>Can your organization comply with institutional policies on privacy and data protection with regard to users of institutional systems, if required?*</v>
      </c>
      <c r="C65" s="57" t="str">
        <f>VLOOKUP($A65,Questions!$A$3:$X$333,19,0)&amp;""</f>
        <v>This is a general inquiry to determine if the solution provider has reviewed the institution's policies and is committed to complying with them.</v>
      </c>
      <c r="D65" s="57" t="str">
        <f>VLOOKUP($A65,Questions!$A$3:$X$333,20,0)&amp;""</f>
        <v>If a solution provider is vague in their response, follow up with direct questions about the institution's policies and ensure the expectation of compliance is clear with the solution provider.</v>
      </c>
    </row>
    <row r="66" spans="1:5" ht="51" customHeight="1" x14ac:dyDescent="0.2">
      <c r="A66" s="57" t="s">
        <v>506</v>
      </c>
      <c r="B66" s="57" t="str">
        <f>VLOOKUP($A66,Questions!$A$3:$X$333,2,0)&amp;""</f>
        <v>Is your company subject to the institution's geographic region's laws and regulations?*</v>
      </c>
      <c r="C66" s="57" t="str">
        <f>VLOOKUP($A66,Questions!$A$3:$X$333,19,0)&amp;""</f>
        <v>This is a general inquiry to determine if the solution provider is well-versed in applicable laws and regulations that apply in the institution's region of business operation.</v>
      </c>
      <c r="D66" s="57" t="str">
        <f>VLOOKUP($A66,Questions!$A$3:$X$333,20,0)&amp;""</f>
        <v>If a solution provider is vague in their response, follow up with direct questions about doing business in your state/region/country and any laws that are pertinent to the institution.</v>
      </c>
    </row>
    <row r="67" spans="1:5" ht="70.5" customHeight="1" x14ac:dyDescent="0.2">
      <c r="A67" s="57" t="s">
        <v>510</v>
      </c>
      <c r="B67" s="57" t="str">
        <f>VLOOKUP($A67,Questions!$A$3:$X$333,2,0)&amp;""</f>
        <v>Can you accommodate encryption requirements using open standards?</v>
      </c>
      <c r="C67" s="57" t="str">
        <f>VLOOKUP($A67,Questions!$A$3:$X$333,19,0)&amp;""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67" s="57" t="str">
        <f>VLOOKUP($A67,Questions!$A$3:$X$333,20,0)&amp;""</f>
        <v>If the solution provider cannot accommodate open standards encryption requirements, direct them to NIST's Cryptographic Standards and Guidelines document &lt;https://csrc.nist.gov/Projects/Cryptographic-Standards-and-Guidelines&gt;.</v>
      </c>
    </row>
    <row r="68" spans="1:5" ht="42.75" x14ac:dyDescent="0.2">
      <c r="A68" s="57" t="s">
        <v>514</v>
      </c>
      <c r="B68" s="57" t="str">
        <f>VLOOKUP($A68,Questions!$A$3:$X$333,2,0)&amp;""</f>
        <v>Do you have a documented systems development life cycle (SDLC)?</v>
      </c>
      <c r="C68" s="57" t="str">
        <f>VLOOKUP($A68,Questions!$A$3:$X$333,19,0)&amp;""</f>
        <v>Mature solution lifecycle management can position a solution provider to sufficiently plan, implement, and manage systems that better protect institutional data.</v>
      </c>
      <c r="D68" s="57" t="str">
        <f>VLOOKUP($A68,Questions!$A$3:$X$333,20,0)&amp;""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69" spans="1:5" ht="65.25" customHeight="1" x14ac:dyDescent="0.2">
      <c r="A69" s="57" t="s">
        <v>517</v>
      </c>
      <c r="B69" s="57" t="str">
        <f>VLOOKUP($A69,Questions!$A$3:$X$333,2,0)&amp;""</f>
        <v>Do you perform background screenings or multi-state background checks on all employees prior to their first day of work?</v>
      </c>
      <c r="C69" s="57" t="str">
        <f>VLOOKUP($A69,Questions!$A$3:$X$333,19,0)&amp;""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69" s="57" t="str">
        <f>VLOOKUP($A69,Questions!$A$3:$X$333,20,0)&amp;""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70" spans="1:5" ht="71.25" customHeight="1" x14ac:dyDescent="0.2">
      <c r="A70" s="57" t="s">
        <v>520</v>
      </c>
      <c r="B70" s="57" t="str">
        <f>VLOOKUP($A70,Questions!$A$3:$X$333,2,0)&amp;""</f>
        <v>Do you require new employees to fill out agreements and review policies?</v>
      </c>
      <c r="C70" s="57" t="str">
        <f>VLOOKUP($A70,Questions!$A$3:$X$333,19,0)&amp;""</f>
        <v>Setting the expectation of performance and increasing awareness of security-related responsibilities are part of these initial-hiring documents. Oftentimes these agreements and reviews are conducted during orientation for new employees.</v>
      </c>
      <c r="D70" s="57" t="str">
        <f>VLOOKUP($A70,Questions!$A$3:$X$333,20,0)&amp;""</f>
        <v>If a solution provider's practices are not clear, inquire about training requirements for employees, especially the frequency and scope of content.</v>
      </c>
    </row>
    <row r="71" spans="1:5" ht="128.25" x14ac:dyDescent="0.2">
      <c r="A71" s="57" t="s">
        <v>522</v>
      </c>
      <c r="B71" s="57" t="str">
        <f>VLOOKUP($A71,Questions!$A$3:$X$333,2,0)&amp;""</f>
        <v>Do you have a documented information security policy?</v>
      </c>
      <c r="C71" s="57" t="str">
        <f>VLOOKUP($A71,Questions!$A$3:$X$333,19,0)&amp;""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71" s="57" t="str">
        <f>VLOOKUP($A71,Questions!$A$3:$X$333,20,0)&amp;""</f>
        <v>If the solution provider does not have an incident response plan, point them to the NIST Computer Security Incident Handling Guide &lt;https://csrc.nist.gov/publications/detail/sp/800-61/rev-2/final&gt;.</v>
      </c>
    </row>
    <row r="72" spans="1:5" s="59" customFormat="1" ht="67.5" customHeight="1" x14ac:dyDescent="0.2">
      <c r="A72" s="57" t="s">
        <v>526</v>
      </c>
      <c r="B72" s="57" t="str">
        <f>VLOOKUP($A72,Questions!$A$3:$X$333,2,0)&amp;""</f>
        <v>Are information security principles designed into the product lifecycle?</v>
      </c>
      <c r="C72" s="57" t="str">
        <f>VLOOKUP($A72,Questions!$A$3:$X$333,19,0)&amp;""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72" s="57" t="str">
        <f>VLOOKUP($A72,Questions!$A$3:$X$333,20,0)&amp;""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73" spans="1:5" ht="62.25" customHeight="1" x14ac:dyDescent="0.2">
      <c r="A73" s="57" t="s">
        <v>531</v>
      </c>
      <c r="B73" s="57" t="str">
        <f>VLOOKUP($A73,Questions!$A$3:$X$333,2,0)&amp;""</f>
        <v>Will you comply with applicable breach notification laws?</v>
      </c>
      <c r="C73" s="57" t="str">
        <f>VLOOKUP($A73,Questions!$A$3:$X$333,19,0)&amp;""</f>
        <v>This is a general inquiry to determine if the solution provider is well-versed in applicable laws and regulations that apply in the institution's region of business operation.</v>
      </c>
      <c r="D73" s="57" t="str">
        <f>VLOOKUP($A73,Questions!$A$3:$X$333,20,0)&amp;""</f>
        <v>If a solution provider is vague in their response, follow up with direct questions about doing business in your state/region/country and any laws that are pertinent to the institution.</v>
      </c>
    </row>
    <row r="74" spans="1:5" s="59" customFormat="1" ht="70.5" customHeight="1" x14ac:dyDescent="0.2">
      <c r="A74" s="57" t="s">
        <v>535</v>
      </c>
      <c r="B74" s="57" t="str">
        <f>VLOOKUP($A74,Questions!$A$3:$X$333,2,0)&amp;""</f>
        <v>Do you have an information security awareness program?</v>
      </c>
      <c r="C74" s="57" t="str">
        <f>VLOOKUP($A74,Questions!$A$3:$X$333,19,0)&amp;""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4" s="57" t="str">
        <f>VLOOKUP($A74,Questions!$A$3:$X$333,20,0)&amp;""</f>
        <v>Follow-up inquiries for information security awareness programs will be institution/implementation specific.</v>
      </c>
      <c r="E74" s="241" t="s">
        <v>1454</v>
      </c>
    </row>
    <row r="75" spans="1:5" ht="57" x14ac:dyDescent="0.2">
      <c r="A75" s="57" t="s">
        <v>540</v>
      </c>
      <c r="B75" s="57" t="str">
        <f>VLOOKUP($A75,Questions!$A$3:$X$333,2,0)&amp;""</f>
        <v>Is security awareness training mandatory for all employees?</v>
      </c>
      <c r="C75" s="57" t="str">
        <f>VLOOKUP($A75,Questions!$A$3:$X$333,19,0)&amp;""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5" s="57" t="str">
        <f>VLOOKUP($A75,Questions!$A$3:$X$333,20,0)&amp;""</f>
        <v>Follow-up inquiries for information security awareness programs will be institution/implementation specific.</v>
      </c>
    </row>
    <row r="76" spans="1:5" ht="72" customHeight="1" x14ac:dyDescent="0.2">
      <c r="A76" s="57" t="s">
        <v>544</v>
      </c>
      <c r="B76" s="57" t="str">
        <f>VLOOKUP($A76,Questions!$A$3:$X$333,2,0)&amp;""</f>
        <v>Do you have process and procedure(s) documented, and currently followed, that require a review and update of the access list(s) for privileged accounts?</v>
      </c>
      <c r="C76" s="57" t="str">
        <f>VLOOKUP($A76,Questions!$A$3:$X$333,19,0)&amp;""</f>
        <v>Protecting privileged accounts is crucial to maintaining system integrity in any environment. This question is targeting privilege creep and unmanaged privileged accounts to determine if the solution provider properly manages access control in their application/system environments.</v>
      </c>
      <c r="D76" s="57" t="str">
        <f>VLOOKUP($A76,Questions!$A$3:$X$333,20,0)&amp;""</f>
        <v>Ask the solution provider to summarize their implemented policies and/or procedures.</v>
      </c>
    </row>
    <row r="77" spans="1:5" ht="72" customHeight="1" x14ac:dyDescent="0.2">
      <c r="A77" s="57" t="s">
        <v>548</v>
      </c>
      <c r="B77" s="57" t="str">
        <f>VLOOKUP($A77,Questions!$A$3:$X$333,2,0)&amp;""</f>
        <v>Do you have documented, and currently implemented, internal audit processes and procedures?</v>
      </c>
      <c r="C77" s="57" t="str">
        <f>VLOOKUP($A77,Questions!$A$3:$X$333,19,0)&amp;""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77" s="57" t="str">
        <f>VLOOKUP($A77,Questions!$A$3:$X$333,20,0)&amp;""</f>
        <v>Follow-up inquiries for internal audit processes and procedures will be institution/implementation specific.</v>
      </c>
    </row>
    <row r="78" spans="1:5" ht="54.75" customHeight="1" x14ac:dyDescent="0.2">
      <c r="A78" s="57" t="s">
        <v>553</v>
      </c>
      <c r="B78" s="57" t="str">
        <f>VLOOKUP($A78,Questions!$A$3:$X$333,2,0)&amp;""</f>
        <v>Does your organization have physical security controls and policies in place?</v>
      </c>
      <c r="C78" s="57" t="str">
        <f>VLOOKUP($A78,Questions!$A$3:$X$333,19,0)&amp;""</f>
        <v>This question aims to understand the physical security state of the solution provider's operating environment and whether or not physical assets are appropriately protected.</v>
      </c>
      <c r="D78" s="57" t="str">
        <f>VLOOKUP($A78,Questions!$A$3:$X$333,20,0)&amp;""</f>
        <v>Follow-up inquiries for physical security controls and policies will be institution/implementation specific.</v>
      </c>
    </row>
    <row r="79" spans="1:5" ht="18" x14ac:dyDescent="0.2">
      <c r="A79" s="63" t="str">
        <f>VLOOKUP(LEFT($A80,4),'Auto Responses'!$N$4:$O$38,2,0)&amp;""</f>
        <v xml:space="preserve"> Authentication, Authorization, and Account Management</v>
      </c>
      <c r="B79" s="63"/>
      <c r="C79" s="56" t="str">
        <f>Questions!$S$2</f>
        <v>Reason for Question</v>
      </c>
      <c r="D79" s="56" t="str">
        <f>Questions!$T$2</f>
        <v>Follow-Up Inquiries/Responses</v>
      </c>
    </row>
    <row r="80" spans="1:5" ht="75" customHeight="1" x14ac:dyDescent="0.2">
      <c r="A80" s="57" t="s">
        <v>216</v>
      </c>
      <c r="B80" s="57" t="str">
        <f>VLOOKUP($A80,Questions!$A$3:$X$333,2,0)&amp;""</f>
        <v>Does your solution support single sign-on (SSO) protocols for user and administrator authentication?*</v>
      </c>
      <c r="C80" s="57" t="str">
        <f>VLOOKUP($A80,Questions!$A$3:$X$333,19,0)&amp;""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80" s="57" t="str">
        <f>VLOOKUP($A80,Questions!$A$3:$X$333,20,0)&amp;""</f>
        <v>Follow-up inquiries for IAM requirements will be institution/implementation specific.</v>
      </c>
    </row>
    <row r="81" spans="1:5" ht="67.5" customHeight="1" x14ac:dyDescent="0.2">
      <c r="A81" s="57" t="s">
        <v>221</v>
      </c>
      <c r="B81" s="57" t="str">
        <f>VLOOKUP($A81,Questions!$A$3:$X$333,2,0)&amp;""</f>
        <v>For customers not using SSO, does your solution support local authentication protocols for user and administrator authentication?*</v>
      </c>
      <c r="C81" s="57" t="str">
        <f>VLOOKUP($A81,Questions!$A$3:$X$333,19,0)&amp;""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81" s="57" t="str">
        <f>VLOOKUP($A81,Questions!$A$3:$X$333,20,0)&amp;""</f>
        <v>The content of this response may or may not have value for the type of use case on the institution. Follow-up inquiries for authentication modes will be institution/implementation specific.</v>
      </c>
    </row>
    <row r="82" spans="1:5" s="59" customFormat="1" ht="53.25" customHeight="1" x14ac:dyDescent="0.2">
      <c r="A82" s="57" t="s">
        <v>225</v>
      </c>
      <c r="B82" s="57" t="str">
        <f>VLOOKUP($A82,Questions!$A$3:$X$333,2,0)&amp;""</f>
        <v>For customers not using SSO, can you enforce password/passphrase complexity requirements (provided by the institution)?*</v>
      </c>
      <c r="C82" s="57" t="str">
        <f>VLOOKUP($A82,Questions!$A$3:$X$333,19,0)&amp;""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2" s="57" t="str">
        <f>VLOOKUP($A82,Questions!$A$3:$X$333,20,0)&amp;""</f>
        <v>Follow-up inquiries for password/passphrase complexity requirements will be institution/implementation specific.</v>
      </c>
    </row>
    <row r="83" spans="1:5" ht="59.25" customHeight="1" x14ac:dyDescent="0.2">
      <c r="A83" s="57" t="s">
        <v>226</v>
      </c>
      <c r="B83" s="57" t="str">
        <f>VLOOKUP($A83,Questions!$A$3:$X$333,2,0)&amp;""</f>
        <v>For customers not using SSO, does the system have password complexity or length limitations and/or restrictions?*</v>
      </c>
      <c r="C83" s="57" t="str">
        <f>VLOOKUP($A83,Questions!$A$3:$X$333,19,0)&amp;""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3" s="57" t="str">
        <f>VLOOKUP($A83,Questions!$A$3:$X$333,20,0)&amp;""</f>
        <v>Follow-up inquiries for password/passphrase limitations and/or restrictions will be institution/implementation specific.</v>
      </c>
    </row>
    <row r="84" spans="1:5" ht="72.75" customHeight="1" x14ac:dyDescent="0.2">
      <c r="A84" s="57" t="s">
        <v>230</v>
      </c>
      <c r="B84" s="57" t="str">
        <f>VLOOKUP($A84,Questions!$A$3:$X$333,2,0)&amp;""</f>
        <v>For customers not using SSO, do you have documented password/passphrase reset procedures that are currently implemented in the system and/or customer support?*</v>
      </c>
      <c r="C84" s="57" t="str">
        <f>VLOOKUP($A84,Questions!$A$3:$X$333,19,0)&amp;""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84" s="57" t="str">
        <f>VLOOKUP($A84,Questions!$A$3:$X$333,20,0)&amp;""</f>
        <v>Ask the solution provider how end users will be supported. Ask for training documentation or knowledgebase content. Confirm solution provider and institution responsibilities in this support area (and others).</v>
      </c>
    </row>
    <row r="85" spans="1:5" ht="63" customHeight="1" x14ac:dyDescent="0.2">
      <c r="A85" s="57" t="s">
        <v>233</v>
      </c>
      <c r="B85" s="57" t="str">
        <f>VLOOKUP($A85,Questions!$A$3:$X$333,2,0)&amp;""</f>
        <v>Does your organization participate in InCommon or another eduGAIN-affiliated trust federation?*</v>
      </c>
      <c r="C85" s="57" t="str">
        <f>VLOOKUP($A85,Questions!$A$3:$X$333,19,0)&amp;""</f>
        <v>This question defines the solution provider's scope of federated identity practices and their willingness to embrace higher education requirements.</v>
      </c>
      <c r="D85" s="57" t="str">
        <f>VLOOKUP($A85,Questions!$A$3:$X$333,20,0)&amp;""</f>
        <v>If a solution provider indicates that a system is stand-alone and cannot integrate with community standards, follow up with maturity questions and ask about other commodity type functions or other system requirements your institution may have.</v>
      </c>
      <c r="E85" s="51"/>
    </row>
    <row r="86" spans="1:5" ht="52.5" customHeight="1" x14ac:dyDescent="0.2">
      <c r="A86" s="57" t="s">
        <v>236</v>
      </c>
      <c r="B86" s="57" t="str">
        <f>VLOOKUP($A86,Questions!$A$3:$X$333,2,0)&amp;""</f>
        <v>Are there any passwords/passphrases hard-coded into your systems or solutions?*</v>
      </c>
      <c r="C86" s="57" t="str">
        <f>VLOOKUP($A86,Questions!$A$3:$X$333,19,0)&amp;""</f>
        <v>The response to this question can reveal the use (or not) of coding best practices. If passwords/passphrases are hard-coded into systems/productions, the solution provider should provide robust details supporting why this is required.</v>
      </c>
      <c r="D86" s="57" t="str">
        <f>VLOOKUP($A86,Questions!$A$3:$X$333,20,0)&amp;""</f>
        <v>Vague responses to this question should be met with concern. Repeat the question if the first answer is insufficient. Ask pointedly to ensure the solution provider is not misunderstanding.</v>
      </c>
      <c r="E86" s="58"/>
    </row>
    <row r="87" spans="1:5" ht="55.5" customHeight="1" x14ac:dyDescent="0.2">
      <c r="A87" s="57" t="s">
        <v>239</v>
      </c>
      <c r="B87" s="57" t="str">
        <f>VLOOKUP($A87,Questions!$A$3:$X$333,2,0)&amp;""</f>
        <v>Are you storing any passwords in plaintext?*</v>
      </c>
      <c r="C87" s="57" t="str">
        <f>VLOOKUP($A87,Questions!$A$3:$X$333,19,0)&amp;""</f>
        <v>The focus of this question is confidentiality. It is a straightforward question confirming the encryption of user authentication details.</v>
      </c>
      <c r="D87" s="57" t="str">
        <f>VLOOKUP($A87,Questions!$A$3:$X$333,20,0)&amp;""</f>
        <v>Follow-up inquiries for password/passphrase encrypted storage will be institution/implementation specific.</v>
      </c>
    </row>
    <row r="88" spans="1:5" ht="58.5" customHeight="1" x14ac:dyDescent="0.2">
      <c r="A88" s="57" t="s">
        <v>242</v>
      </c>
      <c r="B88" s="57" t="str">
        <f>VLOOKUP($A88,Questions!$A$3:$X$333,2,0)&amp;""</f>
        <v>Are audit logs available that include AT LEAST all of the following: login, logout, actions performed, and source IP address?*</v>
      </c>
      <c r="C88" s="57" t="str">
        <f>VLOOKUP($A88,Questions!$A$3:$X$333,19,0)&amp;""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88" s="57" t="str">
        <f>VLOOKUP($A88,Questions!$A$3:$X$333,20,0)&amp;""</f>
        <v>If a weak response is given, it is appropriate to ask directed questions to get specific information. Ensure that questions are targeted to ensure responses will come from the appropriate party within the solution provider.</v>
      </c>
    </row>
    <row r="89" spans="1:5" ht="89.25" customHeight="1" x14ac:dyDescent="0.2">
      <c r="A89" s="57" t="s">
        <v>245</v>
      </c>
      <c r="B89" s="57" t="str">
        <f>VLOOKUP($A89,Questions!$A$3:$X$333,2,0)&amp;""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89" s="57" t="str">
        <f>VLOOKUP($A89,Questions!$A$3:$X$333,19,0)&amp;""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89" s="57" t="str">
        <f>VLOOKUP($A89,Questions!$A$3:$X$333,20,0)&amp;""</f>
        <v>If a weak response is given, it is appropriate to ask directed questions to get specific information. Ensure that questions are targeted to ensure responses will come from the appropriate party within the solution provider.</v>
      </c>
      <c r="E89" s="241" t="s">
        <v>1454</v>
      </c>
    </row>
    <row r="90" spans="1:5" ht="69.75" customHeight="1" x14ac:dyDescent="0.2">
      <c r="A90" s="57" t="s">
        <v>249</v>
      </c>
      <c r="B90" s="57" t="str">
        <f>VLOOKUP($A90,Questions!$A$3:$X$333,2,0)&amp;""</f>
        <v>Can you provide the institution documentation regarding the retention period for those logs, how logs are protected, and whether they are accessible to the customer (and if so, how)?*</v>
      </c>
      <c r="C90" s="57" t="str">
        <f>VLOOKUP($A90,Questions!$A$3:$X$333,19,0)&amp;""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90" s="57" t="str">
        <f>VLOOKUP($A90,Questions!$A$3:$X$333,20,0)&amp;""</f>
        <v>Follow-up inquiries for logging details will be institution/implementation specific.</v>
      </c>
    </row>
    <row r="91" spans="1:5" ht="78" customHeight="1" x14ac:dyDescent="0.2">
      <c r="A91" s="57" t="s">
        <v>253</v>
      </c>
      <c r="B91" s="57" t="str">
        <f>VLOOKUP($A91,Questions!$A$3:$X$333,2,0)&amp;""</f>
        <v>For customers not using SSO, does your application support integration with other authentication and authorization systems?</v>
      </c>
      <c r="C91" s="57" t="str">
        <f>VLOOKUP($A91,Questions!$A$3:$X$333,19,0)&amp;""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91" s="57" t="str">
        <f>VLOOKUP($A91,Questions!$A$3:$X$333,20,0)&amp;""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92" spans="1:5" ht="46.5" customHeight="1" x14ac:dyDescent="0.2">
      <c r="A92" s="57" t="s">
        <v>255</v>
      </c>
      <c r="B92" s="57" t="str">
        <f>VLOOKUP($A92,Questions!$A$3:$X$333,2,0)&amp;""</f>
        <v>Do you allow the customer to specify attribute mappings for any needed information beyond a user identifier? (e.g., Reference eduPerson, ePPA/ePPN/ePE)</v>
      </c>
      <c r="C92" s="57" t="str">
        <f>VLOOKUP($A92,Questions!$A$3:$X$333,19,0)&amp;""</f>
        <v>This questions allows an institution to know solution provider system limitations and to help them gauge the resources (that may be needed to implement) required to successfully integrate the solution with institution systems.</v>
      </c>
      <c r="D92" s="57" t="str">
        <f>VLOOKUP($A92,Questions!$A$3:$X$333,20,0)&amp;""</f>
        <v>Follow-up inquiries for attribute mapping requirements will be institution/implementation specific.</v>
      </c>
    </row>
    <row r="93" spans="1:5" ht="71.25" x14ac:dyDescent="0.2">
      <c r="A93" s="57" t="s">
        <v>260</v>
      </c>
      <c r="B93" s="57" t="str">
        <f>VLOOKUP($A93,Questions!$A$3:$X$333,2,0)&amp;""</f>
        <v>For customers not using SSO, does your application support directory integration for user accounts?</v>
      </c>
      <c r="C93" s="57" t="str">
        <f>VLOOKUP($A93,Questions!$A$3:$X$333,19,0)&amp;""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93" s="57" t="str">
        <f>VLOOKUP($A93,Questions!$A$3:$X$333,20,0)&amp;""</f>
        <v>Follow-up inquiries for system authentication will be unique to your institution (e.g., policy, infrastructure, etc.).</v>
      </c>
    </row>
    <row r="94" spans="1:5" ht="57" x14ac:dyDescent="0.2">
      <c r="A94" s="57" t="s">
        <v>261</v>
      </c>
      <c r="B94" s="57" t="str">
        <f>VLOOKUP($A94,Questions!$A$3:$X$333,2,0)&amp;""</f>
        <v>Does your solution support any of the following web SSO standards: SAML2 (with redirect flow), OIDC, CAS, or other?</v>
      </c>
      <c r="C94" s="57" t="str">
        <f>VLOOKUP($A94,Questions!$A$3:$X$333,19,0)&amp;""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4" s="57" t="str">
        <f>VLOOKUP($A94,Questions!$A$3:$X$333,20,0)&amp;""</f>
        <v>Follow-up inquiries for IAM requirements will be institution/implementation specific.</v>
      </c>
    </row>
    <row r="95" spans="1:5" ht="57" customHeight="1" x14ac:dyDescent="0.2">
      <c r="A95" s="57" t="s">
        <v>265</v>
      </c>
      <c r="B95" s="57" t="str">
        <f>VLOOKUP($A95,Questions!$A$3:$X$333,2,0)&amp;""</f>
        <v>Do you support differentiation between email address and user identifier?</v>
      </c>
      <c r="C95" s="57" t="str">
        <f>VLOOKUP($A95,Questions!$A$3:$X$333,19,0)&amp;""</f>
        <v>This questions allows an institution to know solution provider system limitations and to help them gauge the resources (that may be needed to implement) required to successfully integrate the solution with institution systems.</v>
      </c>
      <c r="D95" s="57" t="str">
        <f>VLOOKUP($A95,Questions!$A$3:$X$333,20,0)&amp;""</f>
        <v>Follow-up inquiries for identifier requirements will be institution/implementation specific.</v>
      </c>
    </row>
    <row r="96" spans="1:5" ht="67.5" customHeight="1" x14ac:dyDescent="0.2">
      <c r="A96" s="57" t="s">
        <v>268</v>
      </c>
      <c r="B96" s="57" t="str">
        <f>VLOOKUP($A96,Questions!$A$3:$X$333,2,0)&amp;""</f>
        <v>For customers not using SSO, does your application and/or user frontend/portal support multifactor authentication (e.g., Duo, Google Authenticator, OTP, etc.)?</v>
      </c>
      <c r="C96" s="57" t="str">
        <f>VLOOKUP($A96,Questions!$A$3:$X$333,19,0)&amp;""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96" s="57" t="str">
        <f>VLOOKUP($A96,Questions!$A$3:$X$333,20,0)&amp;""</f>
        <v>Ask the solution provider about hardware and software options, future roadmap for implementations and support, etc.</v>
      </c>
    </row>
    <row r="97" spans="1:5" ht="28.5" x14ac:dyDescent="0.2">
      <c r="A97" s="57" t="s">
        <v>271</v>
      </c>
      <c r="B97" s="57" t="str">
        <f>VLOOKUP($A97,Questions!$A$3:$X$333,2,0)&amp;""</f>
        <v>Does your application automatically lock the session or log out an account after a period of inactivity?</v>
      </c>
      <c r="C97" s="57" t="str">
        <f>VLOOKUP($A97,Questions!$A$3:$X$333,19,0)&amp;""</f>
        <v>This is a question to ensure account integrity and institutional data confidentiality.</v>
      </c>
      <c r="D97" s="57" t="str">
        <f>VLOOKUP($A97,Questions!$A$3:$X$333,20,0)&amp;""</f>
        <v>Follow-up inquiries for inactivity protections will be institution/implementation specific.</v>
      </c>
    </row>
    <row r="98" spans="1:5" ht="35.25" customHeight="1" x14ac:dyDescent="0.2">
      <c r="A98" s="57" t="s">
        <v>239</v>
      </c>
      <c r="B98" s="57" t="str">
        <f>VLOOKUP($A98,Questions!$A$3:$X$333,2,0)&amp;""</f>
        <v>Are you storing any passwords in plaintext?*</v>
      </c>
      <c r="C98" s="57" t="str">
        <f>VLOOKUP($A98,Questions!$A$3:$X$333,19,0)&amp;""</f>
        <v>The focus of this question is confidentiality. It is a straightforward question confirming the encryption of user authentication details.</v>
      </c>
      <c r="D98" s="57" t="str">
        <f>VLOOKUP($A98,Questions!$A$3:$X$333,20,0)&amp;""</f>
        <v>Follow-up inquiries for password/passphrase encrypted storage will be institution/implementation specific.</v>
      </c>
    </row>
    <row r="99" spans="1:5" ht="72.75" customHeight="1" x14ac:dyDescent="0.2">
      <c r="A99" s="57" t="s">
        <v>242</v>
      </c>
      <c r="B99" s="57" t="str">
        <f>VLOOKUP($A99,Questions!$A$3:$X$333,2,0)&amp;""</f>
        <v>Are audit logs available that include AT LEAST all of the following: login, logout, actions performed, and source IP address?*</v>
      </c>
      <c r="C99" s="57"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57"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2">
      <c r="A100" s="57" t="s">
        <v>245</v>
      </c>
      <c r="B100" s="57"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57"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57"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2">
      <c r="A101" s="57" t="s">
        <v>249</v>
      </c>
      <c r="B101" s="57" t="str">
        <f>VLOOKUP($A101,Questions!$A$3:$X$333,2,0)&amp;""</f>
        <v>Can you provide the institution documentation regarding the retention period for those logs, how logs are protected, and whether they are accessible to the customer (and if so, how)?*</v>
      </c>
      <c r="C101" s="57"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57" t="str">
        <f>VLOOKUP($A101,Questions!$A$3:$X$333,20,0)&amp;""</f>
        <v>Follow-up inquiries for logging details will be institution/implementation specific.</v>
      </c>
    </row>
    <row r="102" spans="1:5" ht="77.25" customHeight="1" x14ac:dyDescent="0.2">
      <c r="A102" s="57" t="s">
        <v>253</v>
      </c>
      <c r="B102" s="57" t="str">
        <f>VLOOKUP($A102,Questions!$A$3:$X$333,2,0)&amp;""</f>
        <v>For customers not using SSO, does your application support integration with other authentication and authorization systems?</v>
      </c>
      <c r="C102" s="57"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57"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2">
      <c r="A103" s="57" t="s">
        <v>255</v>
      </c>
      <c r="B103" s="57" t="str">
        <f>VLOOKUP($A103,Questions!$A$3:$X$333,2,0)&amp;""</f>
        <v>Do you allow the customer to specify attribute mappings for any needed information beyond a user identifier? (e.g., Reference eduPerson, ePPA/ePPN/ePE)</v>
      </c>
      <c r="C103" s="57" t="str">
        <f>VLOOKUP($A103,Questions!$A$3:$X$333,19,0)&amp;""</f>
        <v>This questions allows an institution to know solution provider system limitations and to help them gauge the resources (that may be needed to implement) required to successfully integrate the solution with institution systems.</v>
      </c>
      <c r="D103" s="57" t="str">
        <f>VLOOKUP($A103,Questions!$A$3:$X$333,20,0)&amp;""</f>
        <v>Follow-up inquiries for attribute mapping requirements will be institution/implementation specific.</v>
      </c>
      <c r="E103" s="51"/>
    </row>
    <row r="104" spans="1:5" ht="74.25" customHeight="1" x14ac:dyDescent="0.2">
      <c r="A104" s="57" t="s">
        <v>260</v>
      </c>
      <c r="B104" s="57" t="str">
        <f>VLOOKUP($A104,Questions!$A$3:$X$333,2,0)&amp;""</f>
        <v>For customers not using SSO, does your application support directory integration for user accounts?</v>
      </c>
      <c r="C104" s="57"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57" t="str">
        <f>VLOOKUP($A104,Questions!$A$3:$X$333,20,0)&amp;""</f>
        <v>Follow-up inquiries for system authentication will be unique to your institution (e.g., policy, infrastructure, etc.).</v>
      </c>
    </row>
    <row r="105" spans="1:5" ht="67.5" customHeight="1" x14ac:dyDescent="0.2">
      <c r="A105" s="57" t="s">
        <v>261</v>
      </c>
      <c r="B105" s="57" t="str">
        <f>VLOOKUP($A105,Questions!$A$3:$X$333,2,0)&amp;""</f>
        <v>Does your solution support any of the following web SSO standards: SAML2 (with redirect flow), OIDC, CAS, or other?</v>
      </c>
      <c r="C105" s="57"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57" t="str">
        <f>VLOOKUP($A105,Questions!$A$3:$X$333,20,0)&amp;""</f>
        <v>Follow-up inquiries for IAM requirements will be institution/implementation specific.</v>
      </c>
    </row>
    <row r="106" spans="1:5" ht="52.5" customHeight="1" x14ac:dyDescent="0.2">
      <c r="A106" s="57" t="s">
        <v>265</v>
      </c>
      <c r="B106" s="57" t="str">
        <f>VLOOKUP($A106,Questions!$A$3:$X$333,2,0)&amp;""</f>
        <v>Do you support differentiation between email address and user identifier?</v>
      </c>
      <c r="C106" s="57" t="str">
        <f>VLOOKUP($A106,Questions!$A$3:$X$333,19,0)&amp;""</f>
        <v>This questions allows an institution to know solution provider system limitations and to help them gauge the resources (that may be needed to implement) required to successfully integrate the solution with institution systems.</v>
      </c>
      <c r="D106" s="57" t="str">
        <f>VLOOKUP($A106,Questions!$A$3:$X$333,20,0)&amp;""</f>
        <v>Follow-up inquiries for identifier requirements will be institution/implementation specific.</v>
      </c>
    </row>
    <row r="107" spans="1:5" ht="63.75" customHeight="1" x14ac:dyDescent="0.2">
      <c r="A107" s="57" t="s">
        <v>268</v>
      </c>
      <c r="B107" s="57" t="str">
        <f>VLOOKUP($A107,Questions!$A$3:$X$333,2,0)&amp;""</f>
        <v>For customers not using SSO, does your application and/or user frontend/portal support multifactor authentication (e.g., Duo, Google Authenticator, OTP, etc.)?</v>
      </c>
      <c r="C107" s="57"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57" t="str">
        <f>VLOOKUP($A107,Questions!$A$3:$X$333,20,0)&amp;""</f>
        <v>Ask the solution provider about hardware and software options, future roadmap for implementations and support, etc.</v>
      </c>
    </row>
    <row r="108" spans="1:5" ht="36.75" customHeight="1" x14ac:dyDescent="0.2">
      <c r="A108" s="57" t="s">
        <v>271</v>
      </c>
      <c r="B108" s="57" t="str">
        <f>VLOOKUP($A108,Questions!$A$3:$X$333,2,0)&amp;""</f>
        <v>Does your application automatically lock the session or log out an account after a period of inactivity?</v>
      </c>
      <c r="C108" s="57" t="str">
        <f>VLOOKUP($A108,Questions!$A$3:$X$333,19,0)&amp;""</f>
        <v>This is a question to ensure account integrity and institutional data confidentiality.</v>
      </c>
      <c r="D108" s="57" t="str">
        <f>VLOOKUP($A108,Questions!$A$3:$X$333,20,0)&amp;""</f>
        <v>Follow-up inquiries for inactivity protections will be institution/implementation specific.</v>
      </c>
      <c r="E108" s="241" t="s">
        <v>1454</v>
      </c>
    </row>
    <row r="109" spans="1:5" ht="18" x14ac:dyDescent="0.2">
      <c r="A109" s="63" t="str">
        <f>VLOOKUP(LEFT($A110,4),'Auto Responses'!$N$4:$O$38,2,0)&amp;""</f>
        <v xml:space="preserve"> Data</v>
      </c>
      <c r="B109" s="63"/>
      <c r="C109" s="56" t="str">
        <f>Questions!$S$2</f>
        <v>Reason for Question</v>
      </c>
      <c r="D109" s="56" t="str">
        <f>Questions!$T$2</f>
        <v>Follow-Up Inquiries/Responses</v>
      </c>
    </row>
    <row r="110" spans="1:5" ht="51" customHeight="1" x14ac:dyDescent="0.2">
      <c r="A110" s="57" t="s">
        <v>325</v>
      </c>
      <c r="B110" s="57" t="str">
        <f>VLOOKUP($A110,Questions!$A$3:$X$333,2,0)&amp;""</f>
        <v>Will the institution's data be stored on any devices (database servers, file servers, SAN, NAS, etc.) configured with non-RFC 1918/4193 (i.e., publicly routable) IP addresses?*</v>
      </c>
      <c r="C110" s="57" t="str">
        <f>VLOOKUP($A110,Questions!$A$3:$X$333,19,0)&amp;""</f>
        <v>Systems that are directly exposed to public internet resources are at greater risk than those that are not. Understanding the requirements for this configuration is important, particularly when assessing compensating controls.</v>
      </c>
      <c r="D110" s="57" t="str">
        <f>VLOOKUP($A110,Questions!$A$3:$X$333,20,0)&amp;""</f>
        <v>Ask the solution provider about its infrastructure and if there is a solution that eliminates the need for this environment.</v>
      </c>
    </row>
    <row r="111" spans="1:5" ht="57" customHeight="1" x14ac:dyDescent="0.2">
      <c r="A111" s="57" t="s">
        <v>329</v>
      </c>
      <c r="B111" s="57" t="str">
        <f>VLOOKUP($A111,Questions!$A$3:$X$333,2,0)&amp;""</f>
        <v>Is the transport of sensitive data encrypted using security protocols/algorithms (e.g., system-to-client)?*</v>
      </c>
      <c r="C111" s="57" t="str">
        <f>VLOOKUP($A111,Questions!$A$3:$X$333,19,0)&amp;""</f>
        <v>The need for encryption in transport is unique to your institution's implementation of a system. In particular, the data flow between the system and the end users of the solution.</v>
      </c>
      <c r="D111" s="57" t="str">
        <f>VLOOKUP($A111,Questions!$A$3:$X$333,20,0)&amp;""</f>
        <v>Follow-up inquiries for data encryption between the system and end-users will be institution/implementation specific.</v>
      </c>
    </row>
    <row r="112" spans="1:5" ht="75.75" customHeight="1" x14ac:dyDescent="0.2">
      <c r="A112" s="57" t="s">
        <v>332</v>
      </c>
      <c r="B112" s="57" t="str">
        <f>VLOOKUP($A112,Questions!$A$3:$X$333,2,0)&amp;""</f>
        <v>Is the storage of sensitive data encrypted using security protocols/algorithms (e.g., disk encryption, at-rest, files, and within a running database)?*</v>
      </c>
      <c r="C112" s="57" t="str">
        <f>VLOOKUP($A112,Questions!$A$3:$X$333,19,0)&amp;""</f>
        <v>The need for encryption at-rest is unique to your institution's implementation of a system. In particular, system components, architectures, and data flows all factor into the need for this control.</v>
      </c>
      <c r="D112" s="57" t="str">
        <f>VLOOKUP($A112,Questions!$A$3:$X$333,20,0)&amp;""</f>
        <v>Follow-up inquiries for data encryption at-rest will be institution/implementation specific.</v>
      </c>
    </row>
    <row r="113" spans="1:5" ht="68.25" customHeight="1" x14ac:dyDescent="0.2">
      <c r="A113" s="57" t="s">
        <v>336</v>
      </c>
      <c r="B113" s="57" t="str">
        <f>VLOOKUP($A113,Questions!$A$3:$X$333,2,0)&amp;""</f>
        <v>Do all cryptographic modules in use in your solution conform to the Federal Information Processing Standards (FIPS PUB 140-2 or 140-3)?*</v>
      </c>
      <c r="C113" s="57" t="str">
        <f>VLOOKUP($A113,Questions!$A$3:$X$333,19,0)&amp;""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13" s="57" t="str">
        <f>VLOOKUP($A113,Questions!$A$3:$X$333,20,0)&amp;""</f>
        <v>If the solution provider cannot accommodate open standards encryption requirements, direct them to NIST's Cryptographic Standards and Guidelines document &lt;https://csrc.nist.gov/Projects/Cryptographic-Standards-and-Guidelines&gt;.</v>
      </c>
      <c r="E113" s="51"/>
    </row>
    <row r="114" spans="1:5" ht="54" customHeight="1" x14ac:dyDescent="0.2">
      <c r="A114" s="57" t="s">
        <v>341</v>
      </c>
      <c r="B114" s="57" t="str">
        <f>VLOOKUP($A114,Questions!$A$3:$X$333,2,0)&amp;""</f>
        <v>Will the institution's data be available within the system for a period of time at the completion of this contract?*</v>
      </c>
      <c r="C114" s="57" t="str">
        <f>VLOOKUP($A114,Questions!$A$3:$X$333,19,0)&amp;""</f>
        <v>When cancelling a solution, an institution will commonly want all institutional data that was provided to a solution provider. This questions allows the solution provider to state their general practices when a customer leaves their environment.</v>
      </c>
      <c r="D114" s="57" t="str">
        <f>VLOOKUP($A114,Questions!$A$3:$X$333,20,0)&amp;""</f>
        <v>A solution provider's response should be clear and concise. Be wary of vague responses to this questions and inquire about export specifics, as needed.</v>
      </c>
      <c r="E114" s="58"/>
    </row>
    <row r="115" spans="1:5" ht="51" customHeight="1" x14ac:dyDescent="0.2">
      <c r="A115" s="57" t="s">
        <v>344</v>
      </c>
      <c r="B115" s="57" t="str">
        <f>VLOOKUP($A115,Questions!$A$3:$X$333,2,0)&amp;""</f>
        <v>Are ownership rights to all data, inputs, outputs, and metadata retained even through a provider acquisition or bankruptcy event?*</v>
      </c>
      <c r="C115" s="57" t="str">
        <f>VLOOKUP($A115,Questions!$A$3:$X$333,19,0)&amp;""</f>
        <v>This question clarifies the position of the institution in the case of acquisition or bankruptcy. Expect clear responses to this question. If they are vague, be sure to follow up based on institutional counsel guidance.</v>
      </c>
      <c r="D115" s="57" t="str">
        <f>VLOOKUP($A115,Questions!$A$3:$X$333,20,0)&amp;""</f>
        <v>If a solution provider's response is unsatisfactory, engage institutional counsel to appropriately address any ownership concerns.</v>
      </c>
    </row>
    <row r="116" spans="1:5" ht="61.5" customHeight="1" x14ac:dyDescent="0.2">
      <c r="A116" s="57" t="s">
        <v>346</v>
      </c>
      <c r="B116" s="57" t="str">
        <f>VLOOKUP($A116,Questions!$A$3:$X$333,2,0)&amp;""</f>
        <v>Do backups containing the institution's data ever leave the institution's data zone either physically or via network routing?*</v>
      </c>
      <c r="C116" s="57" t="str">
        <f>VLOOKUP($A116,Questions!$A$3:$X$333,19,0)&amp;""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16" s="57" t="str">
        <f>VLOOKUP($A116,Questions!$A$3:$X$333,20,0)&amp;""</f>
        <v>Follow-up inquiries for data backup procedures/practices will be institution/implementation specific.</v>
      </c>
    </row>
    <row r="117" spans="1:5" ht="66.75" customHeight="1" x14ac:dyDescent="0.2">
      <c r="A117" s="57" t="s">
        <v>348</v>
      </c>
      <c r="B117" s="57" t="str">
        <f>VLOOKUP($A117,Questions!$A$3:$X$333,2,0)&amp;""</f>
        <v>Is media used for long-term retention of business data and archival purposes stored in a secure, environmentally protected area?*</v>
      </c>
      <c r="C117" s="57" t="str">
        <f>VLOOKUP($A117,Questions!$A$3:$X$333,19,0)&amp;""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17" s="57" t="str">
        <f>VLOOKUP($A117,Questions!$A$3:$X$333,20,0)&amp;""</f>
        <v>Vague responses to this question should be investigated further. Ask for additional documentation and verify that procedure (and possibly training) exists to ensure proper media handling activity.</v>
      </c>
    </row>
    <row r="118" spans="1:5" ht="86.25" customHeight="1" x14ac:dyDescent="0.2">
      <c r="A118" s="57" t="s">
        <v>352</v>
      </c>
      <c r="B118" s="57" t="str">
        <f>VLOOKUP($A118,Questions!$A$3:$X$333,2,0)&amp;""</f>
        <v>At the completion of this contract, will data be returned to the institution and/or deleted from all your systems and archives?</v>
      </c>
      <c r="C118" s="57" t="str">
        <f>VLOOKUP($A118,Questions!$A$3:$X$333,19,0)&amp;""</f>
        <v>When cancelling a solution, an institution will commonly want all institutional data that was provided to a solution provider. This question allows the solution provider to state its general practices when a customer leaves its environment.</v>
      </c>
      <c r="D118" s="57" t="str">
        <f>VLOOKUP($A118,Questions!$A$3:$X$333,20,0)&amp;""</f>
        <v>A solution provider's response should be clear and concise. Be wary of vague responses to this questions and inquire about export specifics, as needed.</v>
      </c>
    </row>
    <row r="119" spans="1:5" ht="42.75" x14ac:dyDescent="0.2">
      <c r="A119" s="57" t="s">
        <v>355</v>
      </c>
      <c r="B119" s="57" t="str">
        <f>VLOOKUP($A119,Questions!$A$3:$X$333,2,0)&amp;""</f>
        <v>Can the institution extract a full or partial backup of data?</v>
      </c>
      <c r="C119" s="57" t="str">
        <f>VLOOKUP($A119,Questions!$A$3:$X$333,19,0)&amp;""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19" s="57" t="str">
        <f>VLOOKUP($A119,Questions!$A$3:$X$333,20,0)&amp;""</f>
        <v>A solution provider's response should be clear and concise. Be wary of vague responses to this questions and inquire about export specifics, as needed.</v>
      </c>
    </row>
    <row r="120" spans="1:5" ht="49.5" customHeight="1" x14ac:dyDescent="0.2">
      <c r="A120" s="57" t="s">
        <v>359</v>
      </c>
      <c r="B120" s="57" t="str">
        <f>VLOOKUP($A120,Questions!$A$3:$X$333,2,0)&amp;""</f>
        <v>Do current backups include all operating system software, utilities, security software, application software, and data files necessary for recovery?</v>
      </c>
      <c r="C120" s="57" t="str">
        <f>VLOOKUP($A120,Questions!$A$3:$X$333,19,0)&amp;""</f>
        <v>The purpose of this question is to define the scope of backup operations and the scope at which a solution provider may readily recover when backup restoration is required.</v>
      </c>
      <c r="D120" s="57" t="str">
        <f>VLOOKUP($A120,Questions!$A$3:$X$333,20,0)&amp;""</f>
        <v>Follow-up inquiries for backup content scope will be institution/implementation specific.</v>
      </c>
    </row>
    <row r="121" spans="1:5" ht="64.5" customHeight="1" x14ac:dyDescent="0.2">
      <c r="A121" s="57" t="s">
        <v>363</v>
      </c>
      <c r="B121" s="57" t="str">
        <f>VLOOKUP($A121,Questions!$A$3:$X$333,2,0)&amp;""</f>
        <v>Are you performing off-site backups (i.e., digitally moved off site)?</v>
      </c>
      <c r="C121" s="57" t="str">
        <f>VLOOKUP($A121,Questions!$A$3:$X$333,19,0)&amp;""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21" s="57" t="str">
        <f>VLOOKUP($A121,Questions!$A$3:$X$333,20,0)&amp;""</f>
        <v>Follow-up inquiries for off-site, digital backups will be institution/implementation specific.</v>
      </c>
    </row>
    <row r="122" spans="1:5" ht="60.75" customHeight="1" x14ac:dyDescent="0.2">
      <c r="A122" s="57" t="s">
        <v>369</v>
      </c>
      <c r="B122" s="57" t="str">
        <f>VLOOKUP($A122,Questions!$A$3:$X$333,2,0)&amp;""</f>
        <v>Are physical backups taken off-site (i.e., physically moved off site)?</v>
      </c>
      <c r="C122" s="57" t="str">
        <f>VLOOKUP($A122,Questions!$A$3:$X$333,19,0)&amp;""</f>
        <v>When data is moved physically (e.g., print, etc.) off-site, the policies and implemented procedures are important to know. Unencrypted data taken outside secured areas introduces unnecessary risks.</v>
      </c>
      <c r="D122" s="57" t="str">
        <f>VLOOKUP($A122,Questions!$A$3:$X$333,20,0)&amp;""</f>
        <v>Follow-up inquiries for off-site, physical backups will be institution/implementation specific.</v>
      </c>
    </row>
    <row r="123" spans="1:5" ht="58.5" customHeight="1" x14ac:dyDescent="0.2">
      <c r="A123" s="57" t="s">
        <v>373</v>
      </c>
      <c r="B123" s="57" t="str">
        <f>VLOOKUP($A123,Questions!$A$3:$X$333,2,0)&amp;""</f>
        <v>Are data backups encrypted?</v>
      </c>
      <c r="C123" s="57" t="str">
        <f>VLOOKUP($A123,Questions!$A$3:$X$333,19,0)&amp;""</f>
        <v>The need for encryption at rest (for backups) is unique to your institution's implementation of a system. In particular, system components, architectures, and data flows all factor into the need for this control.</v>
      </c>
      <c r="D123" s="57" t="str">
        <f>VLOOKUP($A123,Questions!$A$3:$X$333,20,0)&amp;""</f>
        <v>Follow-up inquiries for data backup encryption at-rest will be institution/implementation specific.</v>
      </c>
    </row>
    <row r="124" spans="1:5" ht="57" x14ac:dyDescent="0.2">
      <c r="A124" s="57" t="s">
        <v>374</v>
      </c>
      <c r="B124" s="57" t="str">
        <f>VLOOKUP($A124,Questions!$A$3:$X$333,2,0)&amp;""</f>
        <v>Do you have a media handling process that is documented and currently implemented that meets established business needs and regulatory requirements, including end-of-life, repurposing, and data-sanitization procedures?</v>
      </c>
      <c r="C124" s="57" t="str">
        <f>VLOOKUP($A124,Questions!$A$3:$X$333,19,0)&amp;""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24" s="57" t="str">
        <f>VLOOKUP($A124,Questions!$A$3:$X$333,20,0)&amp;""</f>
        <v>Vague responses to this question should be investigated further. Ask for additional documentation and verify that procedure (and possibly training) exists to ensure proper media handling activity.</v>
      </c>
    </row>
    <row r="125" spans="1:5" ht="66.75" customHeight="1" x14ac:dyDescent="0.2">
      <c r="A125" s="57" t="s">
        <v>375</v>
      </c>
      <c r="B125" s="57" t="str">
        <f>VLOOKUP($A125,Questions!$A$3:$X$333,2,0)&amp;""</f>
        <v>Does the process described in DATA-15 adhere to DoD 5220.22-M and/or NIST SP 800-88 standards?</v>
      </c>
      <c r="C125" s="57" t="str">
        <f>VLOOKUP($A125,Questions!$A$3:$X$333,19,0)&amp;""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25" s="57" t="str">
        <f>VLOOKUP($A125,Questions!$A$3:$X$333,20,0)&amp;""</f>
        <v>Follow-up inquiries for DoD 5220.22-M and/or SP800-88 standards will be institution specific.</v>
      </c>
      <c r="E125" s="241" t="s">
        <v>1454</v>
      </c>
    </row>
    <row r="126" spans="1:5" ht="57" x14ac:dyDescent="0.2">
      <c r="A126" s="57" t="s">
        <v>379</v>
      </c>
      <c r="B126" s="57" t="str">
        <f>VLOOKUP($A126,Questions!$A$3:$X$333,2,0)&amp;""</f>
        <v>Does your staff (or third party) have access to institutional data (e.g., financial, PHI, or other sensitive information) through any means?</v>
      </c>
      <c r="C126" s="57" t="str">
        <f>VLOOKUP($A126,Questions!$A$3:$X$333,19,0)&amp;""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26" s="57" t="str">
        <f>VLOOKUP($A126,Questions!$A$3:$X$333,20,0)&amp;""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27" spans="1:5" ht="143.25" customHeight="1" x14ac:dyDescent="0.2">
      <c r="A127" s="57" t="s">
        <v>385</v>
      </c>
      <c r="B127" s="57" t="str">
        <f>VLOOKUP($A127,Questions!$A$3:$X$333,2,0)&amp;""</f>
        <v>Do you have a documented and currently implemented strategy for securing employee workstations when they work remotely (i.e., not in a trusted computing environment)?</v>
      </c>
      <c r="C127" s="57" t="str">
        <f>VLOOKUP($A127,Questions!$A$3:$X$333,19,0)&amp;""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27" s="57" t="str">
        <f>VLOOKUP($A127,Questions!$A$3:$X$333,20,0)&amp;""</f>
        <v>Vague responses to this question should be investigated further. Ask for additional documentation and verify that procedure (and possibly training) exists to ensure proper customer data handling activity.</v>
      </c>
    </row>
    <row r="128" spans="1:5" ht="91.5" customHeight="1" x14ac:dyDescent="0.2">
      <c r="A128" s="57" t="s">
        <v>387</v>
      </c>
      <c r="B128" s="57" t="str">
        <f>VLOOKUP($A128,Questions!$A$3:$X$333,2,0)&amp;""</f>
        <v>Does the environment provide for dedicated single-tenant capabilities? If not, describe how your solution or environment separates data from different customers (e.g., logically, physically, single tenancy, multi-tenancy).</v>
      </c>
      <c r="C128" s="57" t="str">
        <f>VLOOKUP($A128,Questions!$A$3:$X$333,19,0)&amp;""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28" s="57" t="str">
        <f>VLOOKUP($A128,Questions!$A$3:$X$333,20,0)&amp;""</f>
        <v>Follow-up inquiries for dedicated single-tenant capabilities will be institution/implementation specific.</v>
      </c>
    </row>
    <row r="129" spans="1:5" ht="73.5" customHeight="1" x14ac:dyDescent="0.2">
      <c r="A129" s="57" t="s">
        <v>392</v>
      </c>
      <c r="B129" s="57" t="str">
        <f>VLOOKUP($A129,Questions!$A$3:$X$333,2,0)&amp;""</f>
        <v>Are ownership rights to all data, inputs, outputs, and metadata retained by the institution?</v>
      </c>
      <c r="C129" s="57" t="str">
        <f>VLOOKUP($A129,Questions!$A$3:$X$333,19,0)&amp;""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29" s="57" t="str">
        <f>VLOOKUP($A129,Questions!$A$3:$X$333,20,0)&amp;""</f>
        <v>If a solution provider's response is unsatisfactory, engage institutional counsel to appropriately address any ownership concerns.</v>
      </c>
      <c r="E129" s="51"/>
    </row>
    <row r="130" spans="1:5" ht="64.5" customHeight="1" x14ac:dyDescent="0.2">
      <c r="A130" s="57" t="s">
        <v>395</v>
      </c>
      <c r="B130" s="57" t="str">
        <f>VLOOKUP($A130,Questions!$A$3:$X$333,2,0)&amp;""</f>
        <v>In the event of imminent bankruptcy, closing of business, or retirement of service, will you provide 90 days for customers to get their data out of the system and migrate applications?</v>
      </c>
      <c r="C130" s="57" t="str">
        <f>VLOOKUP($A130,Questions!$A$3:$X$333,19,0)&amp;""</f>
        <v>This question clarifies the position of the institution in the case of acquisition or bankruptcy. Expect clear responses to this question. If they are vague, be sure to follow up based on institutional counsel guidance.</v>
      </c>
      <c r="D130" s="57" t="str">
        <f>VLOOKUP($A130,Questions!$A$3:$X$333,20,0)&amp;""</f>
        <v>If a solution provider's response is unsatisfactory, engage institutional counsel to appropriately address any ownership concerns.</v>
      </c>
      <c r="E130" s="58"/>
    </row>
    <row r="131" spans="1:5" ht="66.75" customHeight="1" x14ac:dyDescent="0.2">
      <c r="A131" s="57" t="s">
        <v>398</v>
      </c>
      <c r="B131" s="57" t="str">
        <f>VLOOKUP($A131,Questions!$A$3:$X$333,2,0)&amp;""</f>
        <v>Are involatile backup copies made according to predefined schedules and securely stored and protected?</v>
      </c>
      <c r="C131" s="57" t="str">
        <f>VLOOKUP($A131,Questions!$A$3:$X$333,19,0)&amp;""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31" s="57" t="str">
        <f>VLOOKUP($A131,Questions!$A$3:$X$333,20,0)&amp;""</f>
        <v>An institution's use case will drive the requirements for backup strategy. Ensure that the institution's use case and risk tolerance can be met by solution provider systems.</v>
      </c>
      <c r="E131" s="60"/>
    </row>
    <row r="132" spans="1:5" ht="81.75" customHeight="1" x14ac:dyDescent="0.2">
      <c r="A132" s="57" t="s">
        <v>402</v>
      </c>
      <c r="B132" s="57" t="str">
        <f>VLOOKUP($A132,Questions!$A$3:$X$333,2,0)&amp;""</f>
        <v>Do you have a cryptographic key management process (generation, exchange, storage, safeguards, use, vetting, and replacement) that is documented and currently implemented, for all system components (e.g., database, system, web, etc.)?</v>
      </c>
      <c r="C132" s="57" t="str">
        <f>VLOOKUP($A132,Questions!$A$3:$X$333,19,0)&amp;""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32" s="57" t="str">
        <f>VLOOKUP($A132,Questions!$A$3:$X$333,20,0)&amp;""</f>
        <v>Follow up with the solution provider to ensure that all components of the system are considered. This includes system-to-system, system-to-client, applications, system accounts, etc.</v>
      </c>
    </row>
    <row r="133" spans="1:5" ht="18" x14ac:dyDescent="0.2">
      <c r="A133" s="63" t="str">
        <f>VLOOKUP(LEFT($A134,4),'Auto Responses'!$N$4:$O$38,2,0)&amp;""</f>
        <v xml:space="preserve"> Application/Service Security</v>
      </c>
      <c r="B133" s="63"/>
      <c r="C133" s="56" t="str">
        <f>Questions!$S$2</f>
        <v>Reason for Question</v>
      </c>
      <c r="D133" s="56" t="str">
        <f>Questions!$T$2</f>
        <v>Follow-Up Inquiries/Responses</v>
      </c>
    </row>
    <row r="134" spans="1:5" ht="80.25" customHeight="1" x14ac:dyDescent="0.2">
      <c r="A134" s="64" t="s">
        <v>161</v>
      </c>
      <c r="B134" s="57" t="str">
        <f>VLOOKUP($A134,Questions!$A$3:$X$333,2,0)&amp;""</f>
        <v>Are access controls for institutional accounts based on structured rules, such as role-based access control (RBAC), attribute-based access control (ABAC), or policy-based access control (PBAC)?*</v>
      </c>
      <c r="C134" s="57" t="str">
        <f>VLOOKUP($A134,Questions!$A$3:$X$333,19,0)&amp;""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134" s="57" t="str">
        <f>VLOOKUP($A134,Questions!$A$3:$X$333,20,0)&amp;""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135" spans="1:5" ht="84" customHeight="1" x14ac:dyDescent="0.2">
      <c r="A135" s="57" t="s">
        <v>166</v>
      </c>
      <c r="B135" s="57" t="str">
        <f>VLOOKUP($A135,Questions!$A$3:$X$333,2,0)&amp;""</f>
        <v>Are you using a web application firewall (WAF)?*</v>
      </c>
      <c r="C135" s="57" t="str">
        <f>VLOOKUP($A135,Questions!$A$3:$X$333,19,0)&amp;""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135" s="57" t="str">
        <f>VLOOKUP($A135,Questions!$A$3:$X$333,20,0)&amp;""</f>
        <v>If a solution provider states that they outsource their code development and do not run a WAF, there is elevated reason for concern. Verify how code is tested, monitored, and controlled in production environments.</v>
      </c>
    </row>
    <row r="136" spans="1:5" ht="71.25" customHeight="1" x14ac:dyDescent="0.2">
      <c r="A136" s="57" t="s">
        <v>170</v>
      </c>
      <c r="B136" s="57" t="str">
        <f>VLOOKUP($A136,Questions!$A$3:$X$333,2,0)&amp;""</f>
        <v>Are only currently supported operating system(s), software, and libraries leveraged by the system(s)/application(s) that will have access to institution's data?*</v>
      </c>
      <c r="C136" s="57" t="str">
        <f>VLOOKUP($A136,Questions!$A$3:$X$333,19,0)&amp;""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136" s="57" t="str">
        <f>VLOOKUP($A136,Questions!$A$3:$X$333,20,0)&amp;""</f>
        <v>Follow-up inquiries for operating systems leveraged by the solution provider will be institution/implementation specific.</v>
      </c>
    </row>
    <row r="137" spans="1:5" ht="46.5" customHeight="1" x14ac:dyDescent="0.2">
      <c r="A137" s="57" t="s">
        <v>175</v>
      </c>
      <c r="B137" s="57" t="str">
        <f>VLOOKUP($A137,Questions!$A$3:$X$333,2,0)&amp;""</f>
        <v>Does your application require access to location or GPS data?*</v>
      </c>
      <c r="C137" s="57" t="str">
        <f>VLOOKUP($A137,Questions!$A$3:$X$333,19,0)&amp;""</f>
        <v>Sharing location data significantly increases risk factors for users. It's important to understand if this is required.</v>
      </c>
      <c r="D137" s="57" t="str">
        <f>VLOOKUP($A137,Questions!$A$3:$X$333,20,0)&amp;""</f>
        <v>Ask the solution provider about the need for this requirement, and understand any mitigation strategies that may be possible.</v>
      </c>
    </row>
    <row r="138" spans="1:5" ht="74.25" customHeight="1" x14ac:dyDescent="0.2">
      <c r="A138" s="57" t="s">
        <v>178</v>
      </c>
      <c r="B138" s="57" t="str">
        <f>VLOOKUP($A138,Questions!$A$3:$X$333,2,0)&amp;""</f>
        <v>Does your application provide separation of duties between security administration, system administration, and standard user functions?*</v>
      </c>
      <c r="C138" s="57" t="str">
        <f>VLOOKUP($A138,Questions!$A$3:$X$333,19,0)&amp;""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138" s="57" t="str">
        <f>VLOOKUP($A138,Questions!$A$3:$X$333,20,0)&amp;""</f>
        <v>Ask the solution provider to summarize their best practices for securing their system(s) administratively without the use of RBAC. Make sure to understand the administrative requirements/overhead introduced in the solution provider's environment.</v>
      </c>
    </row>
    <row r="139" spans="1:5" ht="79.5" customHeight="1" x14ac:dyDescent="0.2">
      <c r="A139" s="57" t="s">
        <v>182</v>
      </c>
      <c r="B139" s="57" t="str">
        <f>VLOOKUP($A139,Questions!$A$3:$X$333,2,0)&amp;""</f>
        <v>Do you subject your code to static code analysis and/or static application security testing prior to release?*</v>
      </c>
      <c r="C139" s="57" t="str">
        <f>VLOOKUP($A139,Questions!$A$3:$X$333,19,0)&amp;""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139" s="57" t="str">
        <f>VLOOKUP($A139,Questions!$A$3:$X$333,20,0)&amp;""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140" spans="1:5" ht="56.25" customHeight="1" x14ac:dyDescent="0.2">
      <c r="A140" s="57" t="s">
        <v>186</v>
      </c>
      <c r="B140" s="57" t="str">
        <f>VLOOKUP($A140,Questions!$A$3:$X$333,2,0)&amp;""</f>
        <v>Do you have software testing processes (dynamic or static) that are established and followed?*</v>
      </c>
      <c r="C140" s="57" t="str">
        <f>VLOOKUP($A140,Questions!$A$3:$X$333,19,0)&amp;""</f>
        <v>Code analysis (prior to implementation) can decrease the number of vulnerabilities within a system. Depending on the insight a solution provider has into their code, code testing should be expected.</v>
      </c>
      <c r="D140" s="57" t="str">
        <f>VLOOKUP($A140,Questions!$A$3:$X$333,20,0)&amp;""</f>
        <v>If software testing processes are not established and followed, point the solution provider to OWASP's Testing Guide &lt;https://www.owasp.org/index.php/OWASP_Testing_Guide_v4_Table_of_Contents&gt;.</v>
      </c>
    </row>
    <row r="141" spans="1:5" ht="63.75" customHeight="1" x14ac:dyDescent="0.2">
      <c r="A141" s="57" t="s">
        <v>191</v>
      </c>
      <c r="B141" s="57" t="str">
        <f>VLOOKUP($A141,Questions!$A$3:$X$333,2,0)&amp;""</f>
        <v>Are access controls for staff within your organization based on structured rules, such as RBAC, ABAC, or PBAC?</v>
      </c>
      <c r="C141" s="57" t="str">
        <f>VLOOKUP($A141,Questions!$A$3:$X$333,19,0)&amp;""</f>
        <v>Managing a solution may rely on various professionals to administer a system. This question is focused on how administration, and the segregation of functions, is implemented within the solution provider's infrastructure.</v>
      </c>
      <c r="D141" s="57" t="str">
        <f>VLOOKUP($A141,Questions!$A$3:$X$333,20,0)&amp;""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142" spans="1:5" ht="74.25" customHeight="1" x14ac:dyDescent="0.2">
      <c r="A142" s="57" t="s">
        <v>195</v>
      </c>
      <c r="B142" s="57" t="str">
        <f>VLOOKUP($A142,Questions!$A$3:$X$333,2,0)&amp;""</f>
        <v>Does the system provide data input validation and error messages?</v>
      </c>
      <c r="C142" s="57" t="str">
        <f>VLOOKUP($A142,Questions!$A$3:$X$333,19,0)&amp;""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142" s="57" t="str">
        <f>VLOOKUP($A142,Questions!$A$3:$X$333,20,0)&amp;""</f>
        <v>Inquire about any planned improvements to these capabilities. Ask about their product roadmap, and try to understand how they prioritize security concerns in their environment.</v>
      </c>
    </row>
    <row r="143" spans="1:5" ht="90" customHeight="1" x14ac:dyDescent="0.2">
      <c r="A143" s="57" t="s">
        <v>198</v>
      </c>
      <c r="B143" s="57" t="str">
        <f>VLOOKUP($A143,Questions!$A$3:$X$333,2,0)&amp;""</f>
        <v>Do you have a process and implemented procedures for managing your software supply chain (e.g., libraries, repositories, frameworks, etc.)?</v>
      </c>
      <c r="C143" s="57" t="str">
        <f>VLOOKUP($A143,Questions!$A$3:$X$333,19,0)&amp;""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143" s="57" t="str">
        <f>VLOOKUP($A143,Questions!$A$3:$X$333,20,0)&amp;""</f>
        <v>Follow-up inquiries concerning software supply chain will be institution/implementation specific.</v>
      </c>
    </row>
    <row r="144" spans="1:5" ht="75.75" customHeight="1" x14ac:dyDescent="0.2">
      <c r="A144" s="57" t="s">
        <v>202</v>
      </c>
      <c r="B144" s="57" t="str">
        <f>VLOOKUP($A144,Questions!$A$3:$X$333,2,0)&amp;""</f>
        <v>Have your developers been trained in secure coding techniques?</v>
      </c>
      <c r="C144" s="57" t="str">
        <f>VLOOKUP($A144,Questions!$A$3:$X$333,19,0)&amp;""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44" s="57" t="str">
        <f>VLOOKUP($A144,Questions!$A$3:$X$333,20,0)&amp;""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45" spans="1:5" ht="76.5" customHeight="1" x14ac:dyDescent="0.2">
      <c r="A145" s="57" t="s">
        <v>206</v>
      </c>
      <c r="B145" s="57" t="str">
        <f>VLOOKUP($A145,Questions!$A$3:$X$333,2,0)&amp;""</f>
        <v>Was your application developed using secure coding techniques?</v>
      </c>
      <c r="C145" s="57" t="str">
        <f>VLOOKUP($A145,Questions!$A$3:$X$333,19,0)&amp;""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45" s="57" t="str">
        <f>VLOOKUP($A145,Questions!$A$3:$X$333,20,0)&amp;""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46" spans="1:5" ht="61.5" customHeight="1" x14ac:dyDescent="0.2">
      <c r="A146" s="57" t="s">
        <v>210</v>
      </c>
      <c r="B146" s="57" t="str">
        <f>VLOOKUP($A146,Questions!$A$3:$X$333,2,0)&amp;""</f>
        <v>If mobile, is the application available from a trusted source (e.g., App Store, Google Play Store)?</v>
      </c>
      <c r="C146" s="57" t="str">
        <f>VLOOKUP($A146,Questions!$A$3:$X$333,19,0)&amp;""</f>
        <v>Distributing application via known, moderately vetted application platform decreases the chances of malicious code distribution. Stand-alone deployments (nontrusted sources) should be looked at more closely.</v>
      </c>
      <c r="D146" s="57" t="str">
        <f>VLOOKUP($A146,Questions!$A$3:$X$333,20,0)&amp;""</f>
        <v>Ask the solution provider why this deployment strategy is used. Ask if it is a restriction of the app store platform or some other environment restriction.</v>
      </c>
    </row>
    <row r="147" spans="1:5" ht="60.75" customHeight="1" x14ac:dyDescent="0.2">
      <c r="A147" s="57" t="s">
        <v>213</v>
      </c>
      <c r="B147" s="57" t="str">
        <f>VLOOKUP($A147,Questions!$A$3:$X$333,2,0)&amp;""</f>
        <v>Do you have a fully implemented policy or procedure that details how your employees obtain administrator access to institutional instance of the application?</v>
      </c>
      <c r="C147" s="57" t="str">
        <f>VLOOKUP($A147,Questions!$A$3:$X$333,19,0)&amp;""</f>
        <v>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v>
      </c>
      <c r="D147" s="57" t="str">
        <f>VLOOKUP($A147,Questions!$A$3:$X$333,20,0)&amp;""</f>
        <v>Ask the solution provider to summarize their implemented policies and/or procedures</v>
      </c>
    </row>
    <row r="148" spans="1:5" ht="18" x14ac:dyDescent="0.2">
      <c r="A148" s="63" t="str">
        <f>VLOOKUP(LEFT($A149,4),'Auto Responses'!$N$4:$O$38,2,0)&amp;""</f>
        <v xml:space="preserve"> Datacenter</v>
      </c>
      <c r="B148" s="63"/>
      <c r="C148" s="56" t="str">
        <f>Questions!$S$2</f>
        <v>Reason for Question</v>
      </c>
      <c r="D148" s="56" t="str">
        <f>Questions!$T$2</f>
        <v>Follow-Up Inquiries/Responses</v>
      </c>
    </row>
    <row r="149" spans="1:5" ht="57.75" customHeight="1" x14ac:dyDescent="0.2">
      <c r="A149" s="57" t="s">
        <v>407</v>
      </c>
      <c r="B149" s="57" t="str">
        <f>VLOOKUP($A149,Questions!$A$3:$X$333,2,0)&amp;""</f>
        <v>Select your hosting option.</v>
      </c>
      <c r="C149" s="57" t="str">
        <f>VLOOKUP($A149,Questions!$A$3:$X$333,19,0)&amp;""</f>
        <v>Understanding the hosting environment may reveal infrastructure risks that may not be apparent by other means and provides context to the responses provided throughout this HECVAT.</v>
      </c>
      <c r="D149" s="57" t="str">
        <f>VLOOKUP($A149,Questions!$A$3:$X$333,20,0)&amp;""</f>
        <v>Follow-up inquiries for hosting options will be institution/implementation specific.</v>
      </c>
      <c r="E149" s="241" t="s">
        <v>1454</v>
      </c>
    </row>
    <row r="150" spans="1:5" ht="129" customHeight="1" x14ac:dyDescent="0.2">
      <c r="A150" s="57" t="s">
        <v>412</v>
      </c>
      <c r="B150" s="57" t="str">
        <f>VLOOKUP($A150,Questions!$A$3:$X$333,2,0)&amp;""</f>
        <v>Is a SOC 2 Type 2 report available for the hosting environment?</v>
      </c>
      <c r="C150" s="57" t="str">
        <f>VLOOKUP($A150,Questions!$A$3:$X$333,19,0)&amp;""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0" s="57" t="str">
        <f>VLOOKUP($A150,Questions!$A$3:$X$333,20,0)&amp;""</f>
        <v>Follow-up inquiries for additional solution provider's SOC 2 Type 2 reports will be institution/implementation specific.</v>
      </c>
    </row>
    <row r="151" spans="1:5" ht="90" customHeight="1" x14ac:dyDescent="0.2">
      <c r="A151" s="57" t="s">
        <v>414</v>
      </c>
      <c r="B151" s="57" t="str">
        <f>VLOOKUP($A151,Questions!$A$3:$X$333,2,0)&amp;""</f>
        <v>Are you generally able to accommodate storing each institution's data within its geographic region?</v>
      </c>
      <c r="C151" s="57" t="str">
        <f>VLOOKUP($A151,Questions!$A$3:$X$333,19,0)&amp;""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1" s="57" t="str">
        <f>VLOOKUP($A151,Questions!$A$3:$X$333,20,0)&amp;""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row>
    <row r="152" spans="1:5" ht="75" customHeight="1" x14ac:dyDescent="0.2">
      <c r="A152" s="57" t="s">
        <v>417</v>
      </c>
      <c r="B152" s="57" t="str">
        <f>VLOOKUP($A152,Questions!$A$3:$X$333,2,0)&amp;""</f>
        <v>Are the data centers staffed 24 hours a day, seven days a week (i.e., 24 x 7 x 365)?</v>
      </c>
      <c r="C152" s="57" t="str">
        <f>VLOOKUP($A152,Questions!$A$3:$X$333,19,0)&amp;""</f>
        <v>Solution Providers that operate their own datacenter(s) can implement their own monitoring strategy. Use the solution provider's response to this questions to verify/validate other responses related to ownership/co-location/physical security.</v>
      </c>
      <c r="D152" s="57" t="str">
        <f>VLOOKUP($A152,Questions!$A$3:$X$333,20,0)&amp;""</f>
        <v>Follow-up inquiries for data center staffing will be institution/implementation specific.</v>
      </c>
    </row>
    <row r="153" spans="1:5" ht="75" customHeight="1" x14ac:dyDescent="0.2">
      <c r="A153" s="57" t="s">
        <v>422</v>
      </c>
      <c r="B153" s="57" t="str">
        <f>VLOOKUP($A153,Questions!$A$3:$X$333,2,0)&amp;""</f>
        <v>Are your servers separated from other companies via a physical barrier, such as a cage or hard walls?</v>
      </c>
      <c r="C153" s="57" t="str">
        <f>VLOOKUP($A153,Questions!$A$3:$X$333,19,0)&amp;""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3" s="57" t="str">
        <f>VLOOKUP($A153,Questions!$A$3:$X$333,20,0)&amp;""</f>
        <v>Follow-up inquiries for system physical security will be institution/implementation specific.</v>
      </c>
      <c r="E153" s="51"/>
    </row>
    <row r="154" spans="1:5" ht="64.5" customHeight="1" x14ac:dyDescent="0.2">
      <c r="A154" s="57" t="s">
        <v>425</v>
      </c>
      <c r="B154" s="57" t="str">
        <f>VLOOKUP($A154,Questions!$A$3:$X$333,2,0)&amp;""</f>
        <v>Does a physical barrier fully enclose the physical space, preventing unauthorized physical contact with any of your devices?*</v>
      </c>
      <c r="C154" s="57" t="str">
        <f>VLOOKUP($A154,Questions!$A$3:$X$333,19,0)&amp;""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4" s="57" t="str">
        <f>VLOOKUP($A154,Questions!$A$3:$X$333,20,0)&amp;""</f>
        <v>Follow-up inquiries for system physical security will be institution/implementation specific.</v>
      </c>
      <c r="E154" s="58"/>
    </row>
    <row r="155" spans="1:5" ht="72" customHeight="1" x14ac:dyDescent="0.2">
      <c r="A155" s="57" t="s">
        <v>427</v>
      </c>
      <c r="B155" s="57" t="str">
        <f>VLOOKUP($A155,Questions!$A$3:$X$333,2,0)&amp;""</f>
        <v>Are your primary and secondary data centers geographically diverse?</v>
      </c>
      <c r="C155" s="57" t="str">
        <f>VLOOKUP($A155,Questions!$A$3:$X$333,19,0)&amp;""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5" s="57" t="str">
        <f>VLOOKUP($A155,Questions!$A$3:$X$333,20,0)&amp;""</f>
        <v>Follow-up inquiries for geographic diversity in datacenters will be institution/implementation specific.</v>
      </c>
    </row>
    <row r="156" spans="1:5" ht="54.75" customHeight="1" x14ac:dyDescent="0.2">
      <c r="A156" s="57" t="s">
        <v>432</v>
      </c>
      <c r="B156" s="57" t="str">
        <f>VLOOKUP($A156,Questions!$A$3:$X$333,2,0)&amp;""</f>
        <v>Is the service hosted in a high-availability environment?</v>
      </c>
      <c r="C156" s="57" t="str">
        <f>VLOOKUP($A156,Questions!$A$3:$X$333,19,0)&amp;""</f>
        <v>In the context of the CIA triad, this question is focused on the availability of a system (or set of systems).</v>
      </c>
      <c r="D156" s="57" t="str">
        <f>VLOOKUP($A156,Questions!$A$3:$X$333,20,0)&amp;""</f>
        <v>The weight placed on the solution provider's response will be specific to the institution's use case and solution requirements.</v>
      </c>
    </row>
    <row r="157" spans="1:5" ht="48" customHeight="1" x14ac:dyDescent="0.2">
      <c r="A157" s="57" t="s">
        <v>433</v>
      </c>
      <c r="B157" s="57" t="str">
        <f>VLOOKUP($A157,Questions!$A$3:$X$333,2,0)&amp;""</f>
        <v>Is redundant power available for all data centers where institutional data will reside?</v>
      </c>
      <c r="C157" s="57" t="str">
        <f>VLOOKUP($A157,Questions!$A$3:$X$333,19,0)&amp;""</f>
        <v>In the context of the CIA triad, this question is focused on the availability of a system (or set of systems).</v>
      </c>
      <c r="D157" s="57" t="str">
        <f>VLOOKUP($A157,Questions!$A$3:$X$333,20,0)&amp;""</f>
        <v>The weight placed on the solution provider's response will be specific to the institution's use case and solution requirements.</v>
      </c>
    </row>
    <row r="158" spans="1:5" ht="59.25" customHeight="1" x14ac:dyDescent="0.2">
      <c r="A158" s="57" t="s">
        <v>434</v>
      </c>
      <c r="B158" s="57" t="str">
        <f>VLOOKUP($A158,Questions!$A$3:$X$333,2,0)&amp;""</f>
        <v>Are redundant power strategies tested?*</v>
      </c>
      <c r="C158" s="57" t="str">
        <f>VLOOKUP($A158,Questions!$A$3:$X$333,19,0)&amp;""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58" s="57" t="str">
        <f>VLOOKUP($A158,Questions!$A$3:$X$333,20,0)&amp;""</f>
        <v>Follow-up inquiries for redundant power testing details will be institution/implementation specific.</v>
      </c>
    </row>
    <row r="159" spans="1:5" ht="48" customHeight="1" x14ac:dyDescent="0.2">
      <c r="A159" s="57" t="s">
        <v>439</v>
      </c>
      <c r="B159" s="57" t="str">
        <f>VLOOKUP($A159,Questions!$A$3:$X$333,2,0)&amp;""</f>
        <v>Does the center where the data will reside have cooling and fire-suppression systems that are active and regularly tested?</v>
      </c>
      <c r="C159" s="57" t="str">
        <f>VLOOKUP($A159,Questions!$A$3:$X$333,19,0)&amp;""</f>
        <v>Installing appropriate environmental controls is crucial to maintaining the integrity of the hosting site. Vague responses to this question should be met with concern and appropriate follow up, based on your institutions risk tolerance.</v>
      </c>
      <c r="D159" s="57" t="str">
        <f>VLOOKUP($A159,Questions!$A$3:$X$333,20,0)&amp;""</f>
        <v>Follow-up inquiries for cooling and fire suppression systems will be institution/implementation specific.</v>
      </c>
    </row>
    <row r="160" spans="1:5" ht="45" customHeight="1" x14ac:dyDescent="0.2">
      <c r="A160" s="57" t="s">
        <v>442</v>
      </c>
      <c r="B160" s="57" t="str">
        <f>VLOOKUP($A160,Questions!$A$3:$X$333,2,0)&amp;""</f>
        <v>Do you have Internet Service Provider (ISP) redundancy?</v>
      </c>
      <c r="C160" s="57" t="str">
        <f>VLOOKUP($A160,Questions!$A$3:$X$333,19,0)&amp;""</f>
        <v>In the context of the CIA triad, this question is focused on the availability of a system (or set of systems).</v>
      </c>
      <c r="D160" s="57" t="str">
        <f>VLOOKUP($A160,Questions!$A$3:$X$333,20,0)&amp;""</f>
        <v>The weight placed on the solution provider's response will be specific to the institution's use case and solution requirements.</v>
      </c>
      <c r="E160" s="60"/>
    </row>
    <row r="161" spans="1:5" ht="53.25" customHeight="1" x14ac:dyDescent="0.2">
      <c r="A161" s="57" t="s">
        <v>446</v>
      </c>
      <c r="B161" s="57" t="str">
        <f>VLOOKUP($A161,Questions!$A$3:$X$333,2,0)&amp;""</f>
        <v>Does every data center where the institution's data will reside have multiple telephone company or network provider entrances to the facility?</v>
      </c>
      <c r="C161" s="57" t="str">
        <f>VLOOKUP($A161,Questions!$A$3:$X$333,19,0)&amp;""</f>
        <v>In the context of the CIA triad, this question is focused on the availability of a system (or set of systems).</v>
      </c>
      <c r="D161" s="57" t="str">
        <f>VLOOKUP($A161,Questions!$A$3:$X$333,20,0)&amp;""</f>
        <v>The weight placed on the solution provider's response will be specific to the institution's use case and solution requirements.</v>
      </c>
    </row>
    <row r="162" spans="1:5" ht="52.5" customHeight="1" x14ac:dyDescent="0.2">
      <c r="A162" s="57" t="s">
        <v>448</v>
      </c>
      <c r="B162" s="57" t="str">
        <f>VLOOKUP($A162,Questions!$A$3:$X$333,2,0)&amp;""</f>
        <v>Do you require multifactor authentication for all administrative accounts in your environment?</v>
      </c>
      <c r="C162" s="57" t="str">
        <f>VLOOKUP($A162,Questions!$A$3:$X$333,19,0)&amp;""</f>
        <v>2FA/MFA, implemented correctly, strengthens the security state of a system. 2FA/MFA is commonly implemented and in many use cases is a requirement for account protection purposes.</v>
      </c>
      <c r="D162" s="57" t="str">
        <f>VLOOKUP($A162,Questions!$A$3:$X$333,20,0)&amp;""</f>
        <v>Ask the solution provider about hardware and software options, future roadmap for implementations and support, etc.</v>
      </c>
    </row>
    <row r="163" spans="1:5" ht="39" customHeight="1" x14ac:dyDescent="0.2">
      <c r="A163" s="57" t="s">
        <v>452</v>
      </c>
      <c r="B163" s="57" t="str">
        <f>VLOOKUP($A163,Questions!$A$3:$X$333,2,0)&amp;""</f>
        <v>Are you using your cloud provider's available hardening tools or pre-hardened images?</v>
      </c>
      <c r="C163" s="57" t="str">
        <f>VLOOKUP($A163,Questions!$A$3:$X$333,19,0)&amp;""</f>
        <v>In the context of the CIA triad, this question is focused on the integrity of a system (or set of systems).</v>
      </c>
      <c r="D163" s="57" t="str">
        <f>VLOOKUP($A163,Questions!$A$3:$X$333,20,0)&amp;""</f>
        <v>Ask the solution provider about their system lifecycle practices and security methodology.</v>
      </c>
    </row>
    <row r="164" spans="1:5" ht="75.75" customHeight="1" x14ac:dyDescent="0.2">
      <c r="A164" s="57" t="s">
        <v>456</v>
      </c>
      <c r="B164" s="57" t="str">
        <f>VLOOKUP($A164,Questions!$A$3:$X$333,2,0)&amp;""</f>
        <v>Does your cloud solution provider have access to your encryption keys?</v>
      </c>
      <c r="C164" s="57" t="str">
        <f>VLOOKUP($A164,Questions!$A$3:$X$333,19,0)&amp;""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4" s="57" t="str">
        <f>VLOOKUP($A164,Questions!$A$3:$X$333,20,0)&amp;""</f>
        <v>Follow up with the solution provider to ensure that all components of the system are considered. This includes system-to-system, system-to-client, applications, system accounts, etc.</v>
      </c>
    </row>
    <row r="165" spans="1:5" ht="18" x14ac:dyDescent="0.2">
      <c r="A165" s="63" t="str">
        <f>VLOOKUP(LEFT($A166,4),'Auto Responses'!$N$4:$O$38,2,0)&amp;""</f>
        <v xml:space="preserve"> Firewalls, IDS, IPS, and Networking</v>
      </c>
      <c r="B165" s="63"/>
      <c r="C165" s="56" t="str">
        <f>Questions!$S$2</f>
        <v>Reason for Question</v>
      </c>
      <c r="D165" s="56" t="str">
        <f>Questions!$T$2</f>
        <v>Follow-Up Inquiries/Responses</v>
      </c>
    </row>
    <row r="166" spans="1:5" ht="67.5" customHeight="1" x14ac:dyDescent="0.2">
      <c r="A166" s="57" t="s">
        <v>462</v>
      </c>
      <c r="B166" s="57" t="str">
        <f>VLOOKUP($A166,Questions!$A$3:$X$333,2,0)&amp;""</f>
        <v>Are you utilizing a stateful packet inspection (SPI) firewall?*</v>
      </c>
      <c r="C166" s="57" t="str">
        <f>VLOOKUP($A166,Questions!$A$3:$X$333,19,0)&amp;""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6" s="57" t="str">
        <f>VLOOKUP($A166,Questions!$A$3:$X$333,20,0)&amp;""</f>
        <v>Follow-up inquiries for firewall capabilities will be institution/implementation specific.</v>
      </c>
      <c r="E166" s="60"/>
    </row>
    <row r="167" spans="1:5" ht="60" customHeight="1" x14ac:dyDescent="0.2">
      <c r="A167" s="57" t="s">
        <v>465</v>
      </c>
      <c r="B167" s="57" t="str">
        <f>VLOOKUP($A167,Questions!$A$3:$X$333,2,0)&amp;""</f>
        <v>Do you have a documented policy for firewall change requests?*</v>
      </c>
      <c r="C167" s="57" t="str">
        <f>VLOOKUP($A167,Questions!$A$3:$X$333,19,0)&amp;""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7" s="57" t="str">
        <f>VLOOKUP($A167,Questions!$A$3:$X$333,20,0)&amp;""</f>
        <v>Follow-up inquiries for firewall change requests will be institution/implementation specific.</v>
      </c>
    </row>
    <row r="168" spans="1:5" ht="59.25" customHeight="1" x14ac:dyDescent="0.2">
      <c r="A168" s="57" t="s">
        <v>470</v>
      </c>
      <c r="B168" s="57" t="str">
        <f>VLOOKUP($A168,Questions!$A$3:$X$333,2,0)&amp;""</f>
        <v>Have you implemented an intrusion detection system (network-based)?*</v>
      </c>
      <c r="C168" s="57" t="str">
        <f>VLOOKUP($A168,Questions!$A$3:$X$333,19,0)&amp;""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68" s="57" t="str">
        <f>VLOOKUP($A168,Questions!$A$3:$X$333,20,0)&amp;""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row>
    <row r="169" spans="1:5" ht="63.75" customHeight="1" x14ac:dyDescent="0.2">
      <c r="A169" s="57" t="s">
        <v>475</v>
      </c>
      <c r="B169" s="57" t="str">
        <f>VLOOKUP($A169,Questions!$A$3:$X$333,2,0)&amp;""</f>
        <v>Do you employ host-based intrusion detection?*</v>
      </c>
      <c r="C169" s="57" t="str">
        <f>VLOOKUP($A169,Questions!$A$3:$X$333,19,0)&amp;""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69" s="57" t="str">
        <f>VLOOKUP($A169,Questions!$A$3:$X$333,20,0)&amp;""</f>
        <v>Ask the solution provider to summarize why host-based intrusion detection tools are not implemented in their environment. What compensating controls are in place to detect configuration changes and/or failures of integrity?</v>
      </c>
      <c r="E169" s="51"/>
    </row>
    <row r="170" spans="1:5" ht="71.25" customHeight="1" x14ac:dyDescent="0.2">
      <c r="A170" s="57" t="s">
        <v>478</v>
      </c>
      <c r="B170" s="57" t="str">
        <f>VLOOKUP($A170,Questions!$A$3:$X$333,2,0)&amp;""</f>
        <v>Are audit logs available for all changes to the network, firewall, IDS, and IPS systems?*</v>
      </c>
      <c r="C170" s="57" t="str">
        <f>VLOOKUP($A170,Questions!$A$3:$X$333,19,0)&amp;""</f>
        <v>Strong logging capabilities are vital to the proper management of a network. Implementing an immature system that lacks sufficient logging capabilities exposes an institution to great risk.</v>
      </c>
      <c r="D170" s="57" t="str">
        <f>VLOOKUP($A170,Questions!$A$3:$X$333,20,0)&amp;""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c r="E170" s="58"/>
    </row>
    <row r="171" spans="1:5" ht="72" customHeight="1" x14ac:dyDescent="0.2">
      <c r="A171" s="57" t="s">
        <v>480</v>
      </c>
      <c r="B171" s="57" t="str">
        <f>VLOOKUP($A171,Questions!$A$3:$X$333,2,0)&amp;""</f>
        <v>Is authority for firewall change approval documented? Please list approver names or titles in Additional Info.</v>
      </c>
      <c r="C171" s="57" t="str">
        <f>VLOOKUP($A171,Questions!$A$3:$X$333,19,0)&amp;""</f>
        <v>Modifications to firewall rule sets can have significant repercussions. To ensure the integrity of the rule set, this question targets the individual (or responsible party) for changes and the reasoning behind their authority.</v>
      </c>
      <c r="D171" s="57" t="str">
        <f>VLOOKUP($A171,Questions!$A$3:$X$333,20,0)&amp;""</f>
        <v>Ensure that a separation of duties exists in network security configurations. Pay close attention to responsibility overlap in small organizations, where staff often fill multiple roles.</v>
      </c>
    </row>
    <row r="172" spans="1:5" ht="67.5" customHeight="1" x14ac:dyDescent="0.2">
      <c r="A172" s="57" t="s">
        <v>482</v>
      </c>
      <c r="B172" s="57" t="str">
        <f>VLOOKUP($A172,Questions!$A$3:$X$333,2,0)&amp;""</f>
        <v>Have you implemented an intrusion prevention system (network-based)?</v>
      </c>
      <c r="C172" s="57" t="str">
        <f>VLOOKUP($A172,Questions!$A$3:$X$333,19,0)&amp;""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2" s="57" t="str">
        <f>VLOOKUP($A172,Questions!$A$3:$X$333,20,0)&amp;""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3" spans="1:5" ht="60.75" customHeight="1" x14ac:dyDescent="0.2">
      <c r="A173" s="57" t="s">
        <v>485</v>
      </c>
      <c r="B173" s="57" t="str">
        <f>VLOOKUP($A173,Questions!$A$3:$X$333,2,0)&amp;""</f>
        <v>Do you employ host-based intrusion prevention?</v>
      </c>
      <c r="C173" s="57" t="str">
        <f>VLOOKUP($A173,Questions!$A$3:$X$333,19,0)&amp;""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3" s="57" t="str">
        <f>VLOOKUP($A173,Questions!$A$3:$X$333,20,0)&amp;""</f>
        <v>Ask the solution provider to summarize why host-based intrusion prevention tools are not implemented in their environment. What compensating controls are in place to detect malicious activity and to actively prevent its function?</v>
      </c>
    </row>
    <row r="174" spans="1:5" ht="72.75" customHeight="1" x14ac:dyDescent="0.2">
      <c r="A174" s="57" t="s">
        <v>490</v>
      </c>
      <c r="B174" s="57" t="str">
        <f>VLOOKUP($A174,Questions!$A$3:$X$333,2,0)&amp;""</f>
        <v>Are you employing any next-generation persistent threat (NGPT) monitoring?</v>
      </c>
      <c r="C174" s="57" t="str">
        <f>VLOOKUP($A174,Questions!$A$3:$X$333,19,0)&amp;""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4" s="57" t="str">
        <f>VLOOKUP($A174,Questions!$A$3:$X$333,20,0)&amp;""</f>
        <v>Follow-up inquiries for next-generation persistent threat monitoring will be institution/implementation specific.</v>
      </c>
    </row>
    <row r="175" spans="1:5" ht="72.75" customHeight="1" x14ac:dyDescent="0.2">
      <c r="A175" s="57" t="s">
        <v>495</v>
      </c>
      <c r="B175" s="57" t="str">
        <f>VLOOKUP($A175,Questions!$A$3:$X$333,2,0)&amp;""</f>
        <v>Is intrusion monitoring performed internally or by a third-party service?</v>
      </c>
      <c r="C175" s="57" t="str">
        <f>VLOOKUP($A175,Questions!$A$3:$X$333,19,0)&amp;""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5" s="57" t="str">
        <f>VLOOKUP($A175,Questions!$A$3:$X$333,20,0)&amp;""</f>
        <v>Follow-up inquiries for intrusion monitoring will be institution/implementation specific.</v>
      </c>
    </row>
    <row r="176" spans="1:5" ht="66.75" customHeight="1" x14ac:dyDescent="0.2">
      <c r="A176" s="57" t="s">
        <v>499</v>
      </c>
      <c r="B176" s="57" t="str">
        <f>VLOOKUP($A176,Questions!$A$3:$X$333,2,0)&amp;""</f>
        <v>Do you monitor for intrusions on a 24 x 7 x 365 basis?</v>
      </c>
      <c r="C176" s="57" t="str">
        <f>VLOOKUP($A176,Questions!$A$3:$X$333,19,0)&amp;""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6" s="57" t="str">
        <f>VLOOKUP($A176,Questions!$A$3:$X$333,20,0)&amp;""</f>
        <v>Follow-up inquiries for 24 x 7 x 365 monitoring will be institution/implementation specific.</v>
      </c>
    </row>
    <row r="177" spans="1:5" ht="18" x14ac:dyDescent="0.2">
      <c r="A177" s="63" t="str">
        <f>VLOOKUP(LEFT($A178,4),'Auto Responses'!$N$4:$O$38,2,0)&amp;""</f>
        <v xml:space="preserve"> Incident Handling</v>
      </c>
      <c r="B177" s="63"/>
      <c r="C177" s="56" t="str">
        <f>Questions!$S$2</f>
        <v>Reason for Question</v>
      </c>
      <c r="D177" s="56" t="str">
        <f>Questions!$T$2</f>
        <v>Follow-Up Inquiries/Responses</v>
      </c>
    </row>
    <row r="178" spans="1:5" ht="100.5" customHeight="1" x14ac:dyDescent="0.2">
      <c r="A178" s="57" t="s">
        <v>558</v>
      </c>
      <c r="B178" s="57" t="str">
        <f>VLOOKUP($A178,Questions!$A$3:$X$333,2,0)&amp;""</f>
        <v>Do you have a formal incident response plan?</v>
      </c>
      <c r="C178" s="57" t="str">
        <f>VLOOKUP($A178,Questions!$A$3:$X$333,19,0)&amp;""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78" s="57" t="str">
        <f>VLOOKUP($A178,Questions!$A$3:$X$333,20,0)&amp;""</f>
        <v>If the solution provider does not have an incident response plan, direct them to the NIST Computer Security Incident Handling Guide &lt;https://csrc.nist.gov/publications/detail/sp/800-61/rev-2/final&gt;.</v>
      </c>
      <c r="E178" s="241" t="s">
        <v>1454</v>
      </c>
    </row>
    <row r="179" spans="1:5" ht="60.75" customHeight="1" x14ac:dyDescent="0.2">
      <c r="A179" s="57" t="s">
        <v>562</v>
      </c>
      <c r="B179" s="57" t="str">
        <f>VLOOKUP($A179,Questions!$A$3:$X$333,2,0)&amp;""</f>
        <v>Do you either have an internal incident response team or retain an external team?</v>
      </c>
      <c r="C179" s="57" t="str">
        <f>VLOOKUP($A179,Questions!$A$3:$X$333,19,0)&amp;""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79" s="57" t="str">
        <f>VLOOKUP($A179,Questions!$A$3:$X$333,20,0)&amp;""</f>
        <v>If the solution provider does not have an incident response plan, direct them to the NIST Computer Security Incident Handling Guide &lt;https://csrc.nist.gov/publications/detail/sp/800-61/rev-2/final&gt;.</v>
      </c>
    </row>
    <row r="180" spans="1:5" ht="69" customHeight="1" x14ac:dyDescent="0.2">
      <c r="A180" s="57" t="s">
        <v>566</v>
      </c>
      <c r="B180" s="57" t="str">
        <f>VLOOKUP($A180,Questions!$A$3:$X$333,2,0)&amp;""</f>
        <v>Do you have the capability to respond to incidents on a 24 x 7 x 365 basis?</v>
      </c>
      <c r="C180" s="57" t="str">
        <f>VLOOKUP($A180,Questions!$A$3:$X$333,19,0)&amp;""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80" s="57" t="str">
        <f>VLOOKUP($A180,Questions!$A$3:$X$333,20,0)&amp;""</f>
        <v>If the solution provider does not have an incident response team, direct them to the NIST Computer Security Incident Handling Guide &lt;https://csrc.nist.gov/publications/detail/sp/800-61/rev-2/final&gt;.</v>
      </c>
    </row>
    <row r="181" spans="1:5" ht="78" customHeight="1" x14ac:dyDescent="0.2">
      <c r="A181" s="57" t="s">
        <v>570</v>
      </c>
      <c r="B181" s="57" t="str">
        <f>VLOOKUP($A181,Questions!$A$3:$X$333,2,0)&amp;""</f>
        <v>Do you carry cyber-risk insurance to protect against unforeseen service outages, data that is lost or stolen, and security incidents?</v>
      </c>
      <c r="C181" s="57" t="str">
        <f>VLOOKUP($A181,Questions!$A$3:$X$333,19,0)&amp;""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81" s="57" t="str">
        <f>VLOOKUP($A181,Questions!$A$3:$X$333,20,0)&amp;""</f>
        <v>If the solution provider does not have an incident response plan, point them to the NIST Computer Security Incident Handling Guide &lt;https://csrc.nist.gov/publications/detail/sp/800-61/rev-2/final&gt;.</v>
      </c>
      <c r="E181" s="51"/>
    </row>
    <row r="182" spans="1:5" ht="18" x14ac:dyDescent="0.2">
      <c r="A182" s="63" t="str">
        <f>VLOOKUP(LEFT($A183,4),'Auto Responses'!$N$4:$O$38,2,0)&amp;""</f>
        <v xml:space="preserve"> Vulnerability Management</v>
      </c>
      <c r="B182" s="63"/>
      <c r="C182" s="56" t="str">
        <f>Questions!$S$2</f>
        <v>Reason for Question</v>
      </c>
      <c r="D182" s="56" t="str">
        <f>Questions!$T$2</f>
        <v>Follow-Up Inquiries/Responses</v>
      </c>
      <c r="E182" s="58"/>
    </row>
    <row r="183" spans="1:5" ht="65.25" customHeight="1" x14ac:dyDescent="0.2">
      <c r="A183" s="57" t="s">
        <v>572</v>
      </c>
      <c r="B183" s="57" t="str">
        <f>VLOOKUP($A183,Questions!$A$3:$X$333,2,0)&amp;""</f>
        <v>Are your systems and applications scanned with an authenticated user account for vulnerabilities (that are remediated) prior to new releases?*</v>
      </c>
      <c r="C183" s="57" t="str">
        <f>VLOOKUP($A183,Questions!$A$3:$X$333,19,0)&amp;""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183" s="57" t="str">
        <f>VLOOKUP($A183,Questions!$A$3:$X$333,20,0)&amp;""</f>
        <v>Ask if there are plans to implement these processes. Ask the solution provider to summarize their decision behind not scanning their applications for vulnerabilities prior to release.</v>
      </c>
    </row>
    <row r="184" spans="1:5" ht="58.5" customHeight="1" x14ac:dyDescent="0.2">
      <c r="A184" s="57" t="s">
        <v>575</v>
      </c>
      <c r="B184" s="57" t="str">
        <f>VLOOKUP($A184,Questions!$A$3:$X$333,2,0)&amp;""</f>
        <v>Will you provide results of application and system vulnerability scans to the institution?*</v>
      </c>
      <c r="C184" s="57" t="str">
        <f>VLOOKUP($A184,Questions!$A$3:$X$333,19,0)&amp;""</f>
        <v>If a solution provider is scanning its applications and/or systems, oftentimes an institution will want to review the report, if possible. Preferably, any finding on the reports will have a matching mitigation action.</v>
      </c>
      <c r="D184" s="57" t="str">
        <f>VLOOKUP($A184,Questions!$A$3:$X$333,20,0)&amp;""</f>
        <v>If a solution provider is hesitant to share the report, ask for a summarized version; some insight is better than none.</v>
      </c>
    </row>
    <row r="185" spans="1:5" ht="65.25" customHeight="1" x14ac:dyDescent="0.2">
      <c r="A185" s="57" t="s">
        <v>579</v>
      </c>
      <c r="B185" s="57" t="str">
        <f>VLOOKUP($A185,Questions!$A$3:$X$333,2,0)&amp;""</f>
        <v>Will you allow the institution to perform its own vulnerability testing and/or scanning of your systems and/or application, provided that testing is performed at a mutually agreed upon time and date?*</v>
      </c>
      <c r="C185" s="57" t="str">
        <f>VLOOKUP($A185,Questions!$A$3:$X$333,19,0)&amp;""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185" s="57" t="str">
        <f>VLOOKUP($A185,Questions!$A$3:$X$333,20,0)&amp;""</f>
        <v>Follow-up inquiries for vulnerability scanning and penetration testing will be institution/implementation specific.</v>
      </c>
    </row>
    <row r="186" spans="1:5" ht="85.5" customHeight="1" x14ac:dyDescent="0.2">
      <c r="A186" s="57" t="s">
        <v>582</v>
      </c>
      <c r="B186" s="57" t="str">
        <f>VLOOKUP($A186,Questions!$A$3:$X$333,2,0)&amp;""</f>
        <v>Have your systems and applications had a third-party security assessment completed in the last year?</v>
      </c>
      <c r="C186" s="57" t="str">
        <f>VLOOKUP($A186,Questions!$A$3:$X$333,19,0)&amp;""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86" s="57" t="str">
        <f>VLOOKUP($A186,Questions!$A$3:$X$333,20,0)&amp;""</f>
        <v>Ask if there has ever been a vulnerability scan. A short lapse in external assessment validity can be understood (if there is a planned assessment), but a significant time lapse or no scan whatsoever is cause for elevated levels of concern.</v>
      </c>
    </row>
    <row r="187" spans="1:5" ht="71.25" x14ac:dyDescent="0.2">
      <c r="A187" s="57" t="s">
        <v>585</v>
      </c>
      <c r="B187" s="57" t="str">
        <f>VLOOKUP($A187,Questions!$A$3:$X$333,2,0)&amp;""</f>
        <v>Do you regularly scan for common web application security vulnerabilities (e.g., SQL injection, XSS, XSRF, etc.)?</v>
      </c>
      <c r="C187" s="57" t="str">
        <f>VLOOKUP($A187,Questions!$A$3:$X$333,19,0)&amp;""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187" s="57" t="str">
        <f>VLOOKUP($A187,Questions!$A$3:$X$333,20,0)&amp;""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188" spans="1:5" ht="91.5" customHeight="1" x14ac:dyDescent="0.2">
      <c r="A188" s="57" t="s">
        <v>587</v>
      </c>
      <c r="B188" s="57" t="str">
        <f>VLOOKUP($A188,Questions!$A$3:$X$333,2,0)&amp;""</f>
        <v>Are your systems and applications regularly scanned externally for vulnerabilities?</v>
      </c>
      <c r="C188" s="57" t="str">
        <f>VLOOKUP($A188,Questions!$A$3:$X$333,19,0)&amp;""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88" s="57" t="str">
        <f>VLOOKUP($A188,Questions!$A$3:$X$333,20,0)&amp;""</f>
        <v>If "no," inquire if there has ever been a vulnerability scan. A short lapse in external assessment validity can be understood (if there is a planned assessment), but a significant time lapse or no scan whatsoever is cause for elevated levels of concern.</v>
      </c>
    </row>
    <row r="189" spans="1:5" ht="18" x14ac:dyDescent="0.2">
      <c r="A189" s="63" t="str">
        <f>VLOOKUP(LEFT($A190,4),'Auto Responses'!$N$4:$O$38,2,0)&amp;""</f>
        <v xml:space="preserve"> IT Accessibility</v>
      </c>
      <c r="B189" s="63"/>
      <c r="C189" s="56" t="str">
        <f>Questions!$S$2</f>
        <v>Reason for Question</v>
      </c>
      <c r="D189" s="56" t="str">
        <f>Questions!$T$2</f>
        <v>Follow-Up Inquiries/Responses</v>
      </c>
    </row>
    <row r="190" spans="1:5" x14ac:dyDescent="0.2">
      <c r="A190" s="57" t="s">
        <v>93</v>
      </c>
      <c r="B190" s="57" t="str">
        <f>VLOOKUP($A190,Questions!$A$3:$X$333,2,0)&amp;""</f>
        <v>Solution Provider Accessibility Contact Name</v>
      </c>
      <c r="C190" s="57" t="str">
        <f>VLOOKUP($A190,Questions!$A$3:$X$333,19,0)&amp;""</f>
        <v/>
      </c>
      <c r="D190" s="57" t="str">
        <f>VLOOKUP($A190,Questions!$A$3:$X$333,20,0)&amp;""</f>
        <v/>
      </c>
      <c r="E190" s="60"/>
    </row>
    <row r="191" spans="1:5" x14ac:dyDescent="0.2">
      <c r="A191" s="57" t="s">
        <v>94</v>
      </c>
      <c r="B191" s="57" t="str">
        <f>VLOOKUP($A191,Questions!$A$3:$X$333,2,0)&amp;""</f>
        <v>Solution Provider Accessibility Contact Title</v>
      </c>
      <c r="C191" s="57" t="str">
        <f>VLOOKUP($A191,Questions!$A$3:$X$333,19,0)&amp;""</f>
        <v/>
      </c>
      <c r="D191" s="57" t="str">
        <f>VLOOKUP($A191,Questions!$A$3:$X$333,20,0)&amp;""</f>
        <v/>
      </c>
    </row>
    <row r="192" spans="1:5" x14ac:dyDescent="0.2">
      <c r="A192" s="57" t="s">
        <v>95</v>
      </c>
      <c r="B192" s="57" t="str">
        <f>VLOOKUP($A192,Questions!$A$3:$X$333,2,0)&amp;""</f>
        <v>Solution Provider Accessibility Contact Email</v>
      </c>
      <c r="C192" s="57" t="str">
        <f>VLOOKUP($A192,Questions!$A$3:$X$333,19,0)&amp;""</f>
        <v/>
      </c>
      <c r="D192" s="57" t="str">
        <f>VLOOKUP($A192,Questions!$A$3:$X$333,20,0)&amp;""</f>
        <v/>
      </c>
    </row>
    <row r="193" spans="1:5" x14ac:dyDescent="0.2">
      <c r="A193" s="57" t="s">
        <v>96</v>
      </c>
      <c r="B193" s="57" t="str">
        <f>VLOOKUP($A193,Questions!$A$3:$X$333,2,0)&amp;""</f>
        <v>Solution Provider Accessibility Contact Phone Number</v>
      </c>
      <c r="C193" s="57" t="str">
        <f>VLOOKUP($A193,Questions!$A$3:$X$333,19,0)&amp;""</f>
        <v/>
      </c>
      <c r="D193" s="57" t="str">
        <f>VLOOKUP($A193,Questions!$A$3:$X$333,20,0)&amp;""</f>
        <v/>
      </c>
      <c r="E193" s="51"/>
    </row>
    <row r="194" spans="1:5" x14ac:dyDescent="0.2">
      <c r="A194" s="57" t="s">
        <v>97</v>
      </c>
      <c r="B194" s="57" t="str">
        <f>VLOOKUP($A194,Questions!$A$3:$X$333,2,0)&amp;""</f>
        <v>Web Link to Accessibility Statement or VPAT</v>
      </c>
      <c r="C194" s="57" t="str">
        <f>VLOOKUP($A194,Questions!$A$3:$X$333,19,0)&amp;""</f>
        <v/>
      </c>
      <c r="D194" s="57" t="str">
        <f>VLOOKUP($A194,Questions!$A$3:$X$333,20,0)&amp;""</f>
        <v/>
      </c>
      <c r="E194" s="241" t="s">
        <v>1454</v>
      </c>
    </row>
    <row r="195" spans="1:5" ht="85.5" x14ac:dyDescent="0.2">
      <c r="A195" s="57" t="s">
        <v>101</v>
      </c>
      <c r="B195" s="57" t="str">
        <f>VLOOKUP($A195,Questions!$A$3:$X$333,2,0)&amp;""</f>
        <v>Has a VPAT or ACR been created or updated for the solution and version under consideration within the past 12 months?*</v>
      </c>
      <c r="C195" s="57" t="str">
        <f>VLOOKUP($A195,Questions!$A$3:$X$333,19,0)&amp;""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195" s="57" t="str">
        <f>VLOOKUP($A195,Questions!$A$3:$X$333,20,0)&amp;""</f>
        <v>Cross-reference Accessibility Conformance Reports (ACR) with any answers from ITAC-14 about product roadmaps for accessibility improvements.</v>
      </c>
    </row>
    <row r="196" spans="1:5" ht="74.25" customHeight="1" x14ac:dyDescent="0.2">
      <c r="A196" s="57" t="s">
        <v>103</v>
      </c>
      <c r="B196" s="57" t="str">
        <f>VLOOKUP($A196,Questions!$A$3:$X$333,2,0)&amp;""</f>
        <v>Will your company agree to meet your stated accessibility standard or WCAG 2.1 AA as part of your contractual agreement for the solution?*</v>
      </c>
      <c r="C196" s="57" t="str">
        <f>VLOOKUP($A196,Questions!$A$3:$X$333,19,0)&amp;""</f>
        <v xml:space="preserve">Federal regulation requires that technology products conform to WCAG 2.1 AA. Technology platforms that do not substantially conform to this standard put schools at risk of not complying with these requirements. </v>
      </c>
      <c r="D196" s="57" t="str">
        <f>VLOOKUP($A196,Questions!$A$3:$X$333,20,0)&amp;""</f>
        <v/>
      </c>
    </row>
    <row r="197" spans="1:5" ht="57.75" customHeight="1" x14ac:dyDescent="0.2">
      <c r="A197" s="57" t="s">
        <v>106</v>
      </c>
      <c r="B197" s="57" t="str">
        <f>VLOOKUP($A197,Questions!$A$3:$X$333,2,0)&amp;""</f>
        <v>Does the solution substantially conform to WCAG 2.1 AA?*</v>
      </c>
      <c r="C197" s="57" t="str">
        <f>VLOOKUP($A197,Questions!$A$3:$X$333,19,0)&amp;""</f>
        <v xml:space="preserve">Federal regulation requires that technology products conform to WCAG 2.1 AA. Technology platforms that do not substantially conform to this standard put schools at risk of not complying with these requirements. </v>
      </c>
      <c r="D197" s="57" t="str">
        <f>VLOOKUP($A197,Questions!$A$3:$X$333,20,0)&amp;""</f>
        <v/>
      </c>
    </row>
    <row r="198" spans="1:5" ht="74.25" customHeight="1" x14ac:dyDescent="0.2">
      <c r="A198" s="57" t="s">
        <v>108</v>
      </c>
      <c r="B198" s="57" t="str">
        <f>VLOOKUP($A198,Questions!$A$3:$X$333,2,0)&amp;""</f>
        <v>Do you have a documented and implemented process for reporting and tracking accessibility issues?*</v>
      </c>
      <c r="C198" s="57" t="str">
        <f>VLOOKUP($A198,Questions!$A$3:$X$333,19,0)&amp;""</f>
        <v/>
      </c>
      <c r="D198" s="57" t="str">
        <f>VLOOKUP($A198,Questions!$A$3:$X$333,20,0)&amp;""</f>
        <v>What is the prioritization of accessibility issues received, and how are they tracked? Is there a regular cadence for tracking and addressing accessibility barriers?</v>
      </c>
    </row>
    <row r="199" spans="1:5" ht="81" customHeight="1" x14ac:dyDescent="0.2">
      <c r="A199" s="57" t="s">
        <v>111</v>
      </c>
      <c r="B199" s="57" t="str">
        <f>VLOOKUP($A199,Questions!$A$3:$X$333,2,0)&amp;""</f>
        <v>Do you have documentation to support the accessibility features of your solution?</v>
      </c>
      <c r="C199" s="57" t="str">
        <f>VLOOKUP($A199,Questions!$A$3:$X$333,19,0)&amp;""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199" s="57" t="str">
        <f>VLOOKUP($A199,Questions!$A$3:$X$333,20,0)&amp;""</f>
        <v>If claims are made about accessibility and there is no supporting documentation on how they can be achieved, ensure that intended configurations and uses of the product in question were assessed for any accessibility documentation or claims.</v>
      </c>
      <c r="E199" s="241" t="s">
        <v>1454</v>
      </c>
    </row>
    <row r="200" spans="1:5" ht="57" x14ac:dyDescent="0.2">
      <c r="A200" s="57" t="s">
        <v>112</v>
      </c>
      <c r="B200" s="57" t="str">
        <f>VLOOKUP($A200,Questions!$A$3:$X$333,2,0)&amp;""</f>
        <v>Has a third-party expert conducted an audit of the most recent version of your solution?</v>
      </c>
      <c r="C200" s="57" t="str">
        <f>VLOOKUP($A200,Questions!$A$3:$X$333,19,0)&amp;""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200" s="57" t="str">
        <f>VLOOKUP($A200,Questions!$A$3:$X$333,20,0)&amp;""</f>
        <v/>
      </c>
    </row>
    <row r="201" spans="1:5" ht="99.75" x14ac:dyDescent="0.2">
      <c r="A201" s="57" t="s">
        <v>113</v>
      </c>
      <c r="B201" s="57" t="str">
        <f>VLOOKUP($A201,Questions!$A$3:$X$333,2,0)&amp;""</f>
        <v>Do you have a documented and implemented process for verifying accessibility conformance?</v>
      </c>
      <c r="C201" s="57" t="str">
        <f>VLOOKUP($A201,Questions!$A$3:$X$333,19,0)&amp;""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201" s="57" t="str">
        <f>VLOOKUP($A201,Questions!$A$3:$X$333,20,0)&amp;""</f>
        <v/>
      </c>
    </row>
    <row r="202" spans="1:5" ht="62.25" customHeight="1" x14ac:dyDescent="0.2">
      <c r="A202" s="57" t="s">
        <v>114</v>
      </c>
      <c r="B202" s="57" t="str">
        <f>VLOOKUP($A202,Questions!$A$3:$X$333,2,0)&amp;""</f>
        <v>Have you adopted a technical or legal standard of conformance for the solution?</v>
      </c>
      <c r="C202" s="57" t="str">
        <f>VLOOKUP($A202,Questions!$A$3:$X$333,19,0)&amp;""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202" s="57" t="str">
        <f>VLOOKUP($A202,Questions!$A$3:$X$333,20,0)&amp;""</f>
        <v/>
      </c>
    </row>
    <row r="203" spans="1:5" ht="66" customHeight="1" x14ac:dyDescent="0.2">
      <c r="A203" s="57" t="s">
        <v>116</v>
      </c>
      <c r="B203" s="57" t="str">
        <f>VLOOKUP($A203,Questions!$A$3:$X$333,2,0)&amp;""</f>
        <v>Can you provide a current, detailed accessibility roadmap with delivery timelines?</v>
      </c>
      <c r="C203" s="57" t="str">
        <f>VLOOKUP($A203,Questions!$A$3:$X$333,19,0)&amp;""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203" s="57" t="str">
        <f>VLOOKUP($A203,Questions!$A$3:$X$333,20,0)&amp;""</f>
        <v>If no roadmap is available, seek additional information from the solution provider such as release notes that address accessibility and any feedback from users that address the accessibility of the solution.</v>
      </c>
    </row>
    <row r="204" spans="1:5" ht="98.25" customHeight="1" x14ac:dyDescent="0.2">
      <c r="A204" s="57" t="s">
        <v>120</v>
      </c>
      <c r="B204" s="57" t="str">
        <f>VLOOKUP($A204,Questions!$A$3:$X$333,2,0)&amp;""</f>
        <v>Do you expect your staff to maintain a current skill set in IT accessibility?</v>
      </c>
      <c r="C204" s="57" t="str">
        <f>VLOOKUP($A204,Questions!$A$3:$X$333,19,0)&amp;""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204" s="57" t="str">
        <f>VLOOKUP($A204,Questions!$A$3:$X$333,20,0)&amp;""</f>
        <v/>
      </c>
    </row>
    <row r="205" spans="1:5" ht="81" customHeight="1" x14ac:dyDescent="0.2">
      <c r="A205" s="57" t="s">
        <v>123</v>
      </c>
      <c r="B205" s="57" t="str">
        <f>VLOOKUP($A205,Questions!$A$3:$X$333,2,0)&amp;""</f>
        <v>Do you have documented processes and procedures for implementing accessibility into your development lifecycle?</v>
      </c>
      <c r="C205" s="57" t="str">
        <f>VLOOKUP($A205,Questions!$A$3:$X$333,19,0)&amp;""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205" s="57" t="str">
        <f>VLOOKUP($A205,Questions!$A$3:$X$333,20,0)&amp;""</f>
        <v/>
      </c>
    </row>
    <row r="206" spans="1:5" ht="89.25" customHeight="1" x14ac:dyDescent="0.2">
      <c r="A206" s="57" t="s">
        <v>126</v>
      </c>
      <c r="B206" s="57" t="str">
        <f>VLOOKUP($A206,Questions!$A$3:$X$333,2,0)&amp;""</f>
        <v>Can all functions of the application or service be performed using only the keyboard?</v>
      </c>
      <c r="C206" s="57" t="str">
        <f>VLOOKUP($A206,Questions!$A$3:$X$333,19,0)&amp;""</f>
        <v>One critical accessibility requirement is the full use of a product using only the keyboard, -no mouse or trackpad. This requirement is easy for a nontechnical or non-accessibility expert to understand and verify.</v>
      </c>
      <c r="D206" s="57" t="str">
        <f>VLOOKUP($A206,Questions!$A$3:$X$333,20,0)&amp;""</f>
        <v>To confirm keyboard-only claims, follow the how-to at Minimum Expectations for applications webpage &lt;https://go.iu.edu/minimum-expectations&gt; from Indiana University or reference WebAIM’s Keyboard Testing guidance &lt;https://webaim.org/techniques/keyboard/#testing&gt;.</v>
      </c>
      <c r="E206" s="241" t="s">
        <v>1454</v>
      </c>
    </row>
    <row r="207" spans="1:5" ht="71.25" x14ac:dyDescent="0.2">
      <c r="A207" s="57" t="s">
        <v>129</v>
      </c>
      <c r="B207" s="57" t="str">
        <f>VLOOKUP($A207,Questions!$A$3:$X$333,2,0)&amp;""</f>
        <v>Does your product rely on activating a special "accessibility mode," a "lite version," or using an alternate interface (including “overlay” or AI-based alternates)  for accessibility purposes?</v>
      </c>
      <c r="C207" s="57" t="str">
        <f>VLOOKUP($A207,Questions!$A$3:$X$333,19,0)&amp;""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207" s="57" t="str">
        <f>VLOOKUP($A207,Questions!$A$3:$X$333,20,0)&amp;""</f>
        <v/>
      </c>
    </row>
    <row r="208" spans="1:5" ht="18" x14ac:dyDescent="0.2">
      <c r="A208" s="63" t="str">
        <f>VLOOKUP(LEFT($A209,4),'Auto Responses'!$N$4:$O$38,2,0)&amp;""</f>
        <v xml:space="preserve"> Consulting Services</v>
      </c>
      <c r="B208" s="63"/>
      <c r="C208" s="56" t="str">
        <f>Questions!$S$2</f>
        <v>Reason for Question</v>
      </c>
      <c r="D208" s="56" t="str">
        <f>Questions!$T$2</f>
        <v>Follow-Up Inquiries/Responses</v>
      </c>
      <c r="E208" s="60"/>
    </row>
    <row r="209" spans="1:5" ht="57" x14ac:dyDescent="0.2">
      <c r="A209" s="57" t="s">
        <v>145</v>
      </c>
      <c r="B209" s="57" t="str">
        <f>VLOOKUP($A209,Questions!$A$3:$X$333,2,0)&amp;""</f>
        <v>Will the consultant require access to the institution's network resources?*</v>
      </c>
      <c r="C209" s="57" t="str">
        <f>VLOOKUP($A209,Questions!$A$3:$X$333,19,0)&amp;""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9" s="57" t="str">
        <f>VLOOKUP($A209,Questions!$A$3:$X$333,20,0)&amp;""</f>
        <v>Follow-up inquiries will be institution/implementation specific.</v>
      </c>
      <c r="E209" s="60"/>
    </row>
    <row r="210" spans="1:5" ht="57" x14ac:dyDescent="0.2">
      <c r="A210" s="57" t="s">
        <v>149</v>
      </c>
      <c r="B210" s="57" t="str">
        <f>VLOOKUP($A210,Questions!$A$3:$X$333,2,0)&amp;""</f>
        <v>Has the consultant received training on (sensitive, HIPAA, PCI, etc.) data handling?*</v>
      </c>
      <c r="C210" s="57" t="str">
        <f>VLOOKUP($A210,Questions!$A$3:$X$333,19,0)&amp;""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0" s="57" t="str">
        <f>VLOOKUP($A210,Questions!$A$3:$X$333,20,0)&amp;""</f>
        <v>Follow-up inquiries will be institution/implementation specific.</v>
      </c>
      <c r="E210" s="58"/>
    </row>
    <row r="211" spans="1:5" ht="57" x14ac:dyDescent="0.2">
      <c r="A211" s="57" t="s">
        <v>150</v>
      </c>
      <c r="B211" s="57" t="str">
        <f>VLOOKUP($A211,Questions!$A$3:$X$333,2,0)&amp;""</f>
        <v>Is the data encrypted (at rest) while in the consultant's possession?*</v>
      </c>
      <c r="C211" s="57" t="str">
        <f>VLOOKUP($A211,Questions!$A$3:$X$333,19,0)&amp;""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1" s="57" t="str">
        <f>VLOOKUP($A211,Questions!$A$3:$X$333,20,0)&amp;""</f>
        <v>Follow-up inquiries will be institution/implementation specific.</v>
      </c>
    </row>
    <row r="212" spans="1:5" ht="57" x14ac:dyDescent="0.2">
      <c r="A212" s="57" t="s">
        <v>152</v>
      </c>
      <c r="B212" s="57" t="str">
        <f>VLOOKUP($A212,Questions!$A$3:$X$333,2,0)&amp;""</f>
        <v>Can access be restricted based on source IP address?*</v>
      </c>
      <c r="C212" s="57" t="str">
        <f>VLOOKUP($A212,Questions!$A$3:$X$333,19,0)&amp;""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2" s="57" t="str">
        <f>VLOOKUP($A212,Questions!$A$3:$X$333,20,0)&amp;""</f>
        <v>Follow-up inquiries will be institution/implementation specific.</v>
      </c>
      <c r="E212" s="60"/>
    </row>
    <row r="213" spans="1:5" ht="57" x14ac:dyDescent="0.2">
      <c r="A213" s="57" t="s">
        <v>154</v>
      </c>
      <c r="B213" s="57" t="str">
        <f>VLOOKUP($A213,Questions!$A$3:$X$333,2,0)&amp;""</f>
        <v>Will the consulting take place on-premises?</v>
      </c>
      <c r="C213" s="57" t="str">
        <f>VLOOKUP($A213,Questions!$A$3:$X$333,19,0)&amp;""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3" s="57" t="str">
        <f>VLOOKUP($A213,Questions!$A$3:$X$333,20,0)&amp;""</f>
        <v>Follow-up inquiries will be institution/implementation specific.</v>
      </c>
      <c r="E213" s="60"/>
    </row>
    <row r="214" spans="1:5" ht="57" x14ac:dyDescent="0.2">
      <c r="A214" s="57" t="s">
        <v>155</v>
      </c>
      <c r="B214" s="57" t="str">
        <f>VLOOKUP($A214,Questions!$A$3:$X$333,2,0)&amp;""</f>
        <v>Will the consultant require access to hardware in the institution's data centers?</v>
      </c>
      <c r="C214" s="57" t="str">
        <f>VLOOKUP($A214,Questions!$A$3:$X$333,19,0)&amp;""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4" s="57" t="str">
        <f>VLOOKUP($A214,Questions!$A$3:$X$333,20,0)&amp;""</f>
        <v>Follow-up inquiries will be institution/implementation specific.</v>
      </c>
      <c r="E214" s="60"/>
    </row>
    <row r="215" spans="1:5" ht="57" x14ac:dyDescent="0.2">
      <c r="A215" s="57" t="s">
        <v>157</v>
      </c>
      <c r="B215" s="57" t="str">
        <f>VLOOKUP($A215,Questions!$A$3:$X$333,2,0)&amp;""</f>
        <v>Will the consultant require an account within the institution's domain (@*.edu)?</v>
      </c>
      <c r="C215" s="57" t="str">
        <f>VLOOKUP($A215,Questions!$A$3:$X$333,19,0)&amp;""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5" s="57" t="str">
        <f>VLOOKUP($A215,Questions!$A$3:$X$333,20,0)&amp;""</f>
        <v>Follow-up inquiries will be institution/implementation specific.</v>
      </c>
      <c r="E215" s="58"/>
    </row>
    <row r="216" spans="1:5" ht="57" x14ac:dyDescent="0.2">
      <c r="A216" s="57" t="s">
        <v>158</v>
      </c>
      <c r="B216" s="57" t="str">
        <f>VLOOKUP($A216,Questions!$A$3:$X$333,2,0)&amp;""</f>
        <v>Will any data be transferred to the consultant's possession?</v>
      </c>
      <c r="C216" s="57" t="str">
        <f>VLOOKUP($A216,Questions!$A$3:$X$333,19,0)&amp;""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6" s="57" t="str">
        <f>VLOOKUP($A216,Questions!$A$3:$X$333,20,0)&amp;""</f>
        <v>Follow-up inquiries will be institution/implementation specific.</v>
      </c>
    </row>
    <row r="217" spans="1:5" ht="57" x14ac:dyDescent="0.2">
      <c r="A217" s="57" t="s">
        <v>160</v>
      </c>
      <c r="B217" s="57" t="str">
        <f>VLOOKUP($A217,Questions!$A$3:$X$333,2,0)&amp;""</f>
        <v>Will the consultant need remote access to the institution's network or systems?</v>
      </c>
      <c r="C217" s="57" t="str">
        <f>VLOOKUP($A217,Questions!$A$3:$X$333,19,0)&amp;""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7" s="57" t="str">
        <f>VLOOKUP($A217,Questions!$A$3:$X$333,20,0)&amp;""</f>
        <v>Follow-up inquiries will be institution/implementation specific.</v>
      </c>
    </row>
    <row r="218" spans="1:5" ht="42.75" customHeight="1" x14ac:dyDescent="0.2">
      <c r="A218" s="63" t="str">
        <f>VLOOKUP(LEFT($A219,4),'Auto Responses'!$N$4:$O$38,2,0)&amp;""</f>
        <v xml:space="preserve">HIPAA Compliance </v>
      </c>
      <c r="B218" s="63"/>
      <c r="C218" s="56" t="str">
        <f>Questions!$S$2</f>
        <v>Reason for Question</v>
      </c>
      <c r="D218" s="56" t="str">
        <f>Questions!$T$2</f>
        <v>Follow-Up Inquiries/Responses</v>
      </c>
    </row>
    <row r="219" spans="1:5" ht="53.25" customHeight="1" x14ac:dyDescent="0.2">
      <c r="A219" s="57" t="s">
        <v>590</v>
      </c>
      <c r="B219" s="57" t="str">
        <f>VLOOKUP($A219,Questions!$A$3:$X$333,2,0)&amp;""</f>
        <v>Do your workforce members receive regular training related to the Health Insurance Portability and Accountability Act (HIPAA) Privacy and Security Rules and the HITECH Act?*</v>
      </c>
      <c r="C219" s="57" t="str">
        <f>VLOOKUP($A219,Questions!$A$3:$X$333,19,0)&amp;""</f>
        <v>HIPAA</v>
      </c>
      <c r="D219" s="57" t="str">
        <f>VLOOKUP($A219,Questions!$A$3:$X$333,20,0)&amp;""</f>
        <v>Refer to HIPAA documentation or your institution's Chief HIPAA Security Officer.</v>
      </c>
    </row>
    <row r="220" spans="1:5" ht="39.75" customHeight="1" x14ac:dyDescent="0.2">
      <c r="A220" s="57" t="s">
        <v>595</v>
      </c>
      <c r="B220" s="57" t="str">
        <f>VLOOKUP($A220,Questions!$A$3:$X$333,2,0)&amp;""</f>
        <v>Have you identified areas of risk?*</v>
      </c>
      <c r="C220" s="57" t="str">
        <f>VLOOKUP($A220,Questions!$A$3:$X$333,19,0)&amp;""</f>
        <v>HIPAA</v>
      </c>
      <c r="D220" s="57" t="str">
        <f>VLOOKUP($A220,Questions!$A$3:$X$333,20,0)&amp;""</f>
        <v>Refer to HIPAA documentation or your institution's Chief HIPAA Security Officer.</v>
      </c>
    </row>
    <row r="221" spans="1:5" ht="40.5" customHeight="1" x14ac:dyDescent="0.2">
      <c r="A221" s="57" t="s">
        <v>597</v>
      </c>
      <c r="B221" s="57" t="str">
        <f>VLOOKUP($A221,Questions!$A$3:$X$333,2,0)&amp;""</f>
        <v>Have the relevant policies/plans been tested?*</v>
      </c>
      <c r="C221" s="57" t="str">
        <f>VLOOKUP($A221,Questions!$A$3:$X$333,19,0)&amp;""</f>
        <v>HIPAA</v>
      </c>
      <c r="D221" s="57" t="str">
        <f>VLOOKUP($A221,Questions!$A$3:$X$333,20,0)&amp;""</f>
        <v>Refer to HIPAA documentation or your institution's Chief HIPAA Security Officer.</v>
      </c>
      <c r="E221" s="51"/>
    </row>
    <row r="222" spans="1:5" ht="39" customHeight="1" x14ac:dyDescent="0.2">
      <c r="A222" s="57" t="s">
        <v>599</v>
      </c>
      <c r="B222" s="57" t="str">
        <f>VLOOKUP($A222,Questions!$A$3:$X$333,2,0)&amp;""</f>
        <v>Have you entered into a Business Associate Agreements with all subcontractors who may have access to protected health information (PHI)?*</v>
      </c>
      <c r="C222" s="57" t="str">
        <f>VLOOKUP($A222,Questions!$A$3:$X$333,19,0)&amp;""</f>
        <v>HIPAA</v>
      </c>
      <c r="D222" s="57" t="str">
        <f>VLOOKUP($A222,Questions!$A$3:$X$333,20,0)&amp;""</f>
        <v>Refer to HIPAA documentation or your institution's Chief HIPAA Security Officer.</v>
      </c>
    </row>
    <row r="223" spans="1:5" ht="23.25" customHeight="1" x14ac:dyDescent="0.2">
      <c r="A223" s="57" t="s">
        <v>601</v>
      </c>
      <c r="B223" s="57" t="str">
        <f>VLOOKUP($A223,Questions!$A$3:$X$333,2,0)&amp;""</f>
        <v>Do you monitor or receive information regarding changes in HIPAA regulations?</v>
      </c>
      <c r="C223" s="57" t="str">
        <f>VLOOKUP($A223,Questions!$A$3:$X$333,19,0)&amp;""</f>
        <v>HIPAA</v>
      </c>
      <c r="D223" s="57" t="str">
        <f>VLOOKUP($A223,Questions!$A$3:$X$333,20,0)&amp;""</f>
        <v>Refer to HIPAA documentation or your institution's Chief HIPAA Security Officer.</v>
      </c>
    </row>
    <row r="224" spans="1:5" ht="39.75" customHeight="1" x14ac:dyDescent="0.2">
      <c r="A224" s="57" t="s">
        <v>602</v>
      </c>
      <c r="B224" s="57" t="str">
        <f>VLOOKUP($A224,Questions!$A$3:$X$333,2,0)&amp;""</f>
        <v>Has your organization designated HIPAA Privacy and Security officers as required by the rules?</v>
      </c>
      <c r="C224" s="57" t="str">
        <f>VLOOKUP($A224,Questions!$A$3:$X$333,19,0)&amp;""</f>
        <v>HIPAA</v>
      </c>
      <c r="D224" s="57" t="str">
        <f>VLOOKUP($A224,Questions!$A$3:$X$333,20,0)&amp;""</f>
        <v>Refer to HIPAA documentation or your institution's Chief HIPAA Security Officer.</v>
      </c>
    </row>
    <row r="225" spans="1:5" ht="38.25" customHeight="1" x14ac:dyDescent="0.2">
      <c r="A225" s="57" t="s">
        <v>603</v>
      </c>
      <c r="B225" s="57" t="str">
        <f>VLOOKUP($A225,Questions!$A$3:$X$333,2,0)&amp;""</f>
        <v>Do you comply with the requirements of the Health Information Technology for Economic and Clinical Health Act (HITECH)?</v>
      </c>
      <c r="C225" s="57" t="str">
        <f>VLOOKUP($A225,Questions!$A$3:$X$333,19,0)&amp;""</f>
        <v>HIPAA</v>
      </c>
      <c r="D225" s="57" t="str">
        <f>VLOOKUP($A225,Questions!$A$3:$X$333,20,0)&amp;""</f>
        <v>Refer to HIPAA documentation or your institution's Chief HIPAA Security Officer.</v>
      </c>
    </row>
    <row r="226" spans="1:5" ht="36" customHeight="1" x14ac:dyDescent="0.2">
      <c r="A226" s="57" t="s">
        <v>605</v>
      </c>
      <c r="B226" s="57" t="str">
        <f>VLOOKUP($A226,Questions!$A$3:$X$333,2,0)&amp;""</f>
        <v>Have you conducted a risk analysis as required under the HIPAA Security Rule?</v>
      </c>
      <c r="C226" s="57" t="str">
        <f>VLOOKUP($A226,Questions!$A$3:$X$333,19,0)&amp;""</f>
        <v>HIPAA</v>
      </c>
      <c r="D226" s="57" t="str">
        <f>VLOOKUP($A226,Questions!$A$3:$X$333,20,0)&amp;""</f>
        <v>Refer to HIPAA documentation or your institution's Chief HIPAA Security Officer.</v>
      </c>
    </row>
    <row r="227" spans="1:5" x14ac:dyDescent="0.2">
      <c r="A227" s="57" t="s">
        <v>607</v>
      </c>
      <c r="B227" s="57" t="str">
        <f>VLOOKUP($A227,Questions!$A$3:$X$333,2,0)&amp;""</f>
        <v>Have you taken actions to mitigate the identified risks?</v>
      </c>
      <c r="C227" s="57" t="str">
        <f>VLOOKUP($A227,Questions!$A$3:$X$333,19,0)&amp;""</f>
        <v>HIPAA</v>
      </c>
      <c r="D227" s="57" t="str">
        <f>VLOOKUP($A227,Questions!$A$3:$X$333,20,0)&amp;""</f>
        <v>Refer to HIPAA documentation or your institution's Chief HIPAA Security Officer.</v>
      </c>
    </row>
    <row r="228" spans="1:5" ht="34.5" customHeight="1" x14ac:dyDescent="0.2">
      <c r="A228" s="57" t="s">
        <v>609</v>
      </c>
      <c r="B228" s="57" t="str">
        <f>VLOOKUP($A228,Questions!$A$3:$X$333,2,0)&amp;""</f>
        <v>Does your application require user and system administrator password changes at a frequency no greater than 90 days?</v>
      </c>
      <c r="C228" s="57" t="str">
        <f>VLOOKUP($A228,Questions!$A$3:$X$333,19,0)&amp;""</f>
        <v>HIPAA</v>
      </c>
      <c r="D228" s="57" t="str">
        <f>VLOOKUP($A228,Questions!$A$3:$X$333,20,0)&amp;""</f>
        <v>Refer to HIPAA documentation or your institution's Chief HIPAA Security Officer.</v>
      </c>
      <c r="E228" s="51"/>
    </row>
    <row r="229" spans="1:5" ht="52.5" customHeight="1" x14ac:dyDescent="0.2">
      <c r="A229" s="57" t="s">
        <v>611</v>
      </c>
      <c r="B229" s="57" t="str">
        <f>VLOOKUP($A229,Questions!$A$3:$X$333,2,0)&amp;""</f>
        <v>Does your application require users to set their own password after an administrator reset or on first use of the account?</v>
      </c>
      <c r="C229" s="57" t="str">
        <f>VLOOKUP($A229,Questions!$A$3:$X$333,19,0)&amp;""</f>
        <v>HIPAA</v>
      </c>
      <c r="D229" s="57" t="str">
        <f>VLOOKUP($A229,Questions!$A$3:$X$333,20,0)&amp;""</f>
        <v>Refer to HIPAA documentation or your institution's Chief HIPAA Security Officer.</v>
      </c>
    </row>
    <row r="230" spans="1:5" ht="21" customHeight="1" x14ac:dyDescent="0.2">
      <c r="A230" s="57" t="s">
        <v>613</v>
      </c>
      <c r="B230" s="57" t="str">
        <f>VLOOKUP($A230,Questions!$A$3:$X$333,2,0)&amp;""</f>
        <v>Does your application lock out an account after a number of failed login attempts?</v>
      </c>
      <c r="C230" s="57" t="str">
        <f>VLOOKUP($A230,Questions!$A$3:$X$333,19,0)&amp;""</f>
        <v>HIPAA</v>
      </c>
      <c r="D230" s="57" t="str">
        <f>VLOOKUP($A230,Questions!$A$3:$X$333,20,0)&amp;""</f>
        <v>Refer to HIPAA documentation or your institution's Chief HIPAA Security Officer.</v>
      </c>
    </row>
    <row r="231" spans="1:5" ht="23.25" customHeight="1" x14ac:dyDescent="0.2">
      <c r="A231" s="57" t="s">
        <v>615</v>
      </c>
      <c r="B231" s="57" t="str">
        <f>VLOOKUP($A231,Questions!$A$3:$X$333,2,0)&amp;""</f>
        <v>Does your application automatically lock or log-out an account after a period of inactivity?</v>
      </c>
      <c r="C231" s="57" t="str">
        <f>VLOOKUP($A231,Questions!$A$3:$X$333,19,0)&amp;""</f>
        <v>HIPAA</v>
      </c>
      <c r="D231" s="57" t="str">
        <f>VLOOKUP($A231,Questions!$A$3:$X$333,20,0)&amp;""</f>
        <v>Refer to HIPAA documentation or your institution's Chief HIPAA Security Officer.</v>
      </c>
    </row>
    <row r="232" spans="1:5" ht="24.75" customHeight="1" x14ac:dyDescent="0.2">
      <c r="A232" s="57" t="s">
        <v>617</v>
      </c>
      <c r="B232" s="57" t="str">
        <f>VLOOKUP($A232,Questions!$A$3:$X$333,2,0)&amp;""</f>
        <v>Are passwords visible in plain text, whether when stored or entered, including service level accounts (i.e., database accounts, etc.)?</v>
      </c>
      <c r="C232" s="57" t="str">
        <f>VLOOKUP($A232,Questions!$A$3:$X$333,19,0)&amp;""</f>
        <v>HIPAA</v>
      </c>
      <c r="D232" s="57" t="str">
        <f>VLOOKUP($A232,Questions!$A$3:$X$333,20,0)&amp;""</f>
        <v>Refer to HIPAA documentation or your institution's Chief HIPAA Security Officer.</v>
      </c>
    </row>
    <row r="233" spans="1:5" ht="39" customHeight="1" x14ac:dyDescent="0.2">
      <c r="A233" s="57" t="s">
        <v>619</v>
      </c>
      <c r="B233" s="57" t="str">
        <f>VLOOKUP($A233,Questions!$A$3:$X$333,2,0)&amp;""</f>
        <v>If the application is institution-hosted, can all service level and administrative account passwords be changed by the institution?</v>
      </c>
      <c r="C233" s="57" t="str">
        <f>VLOOKUP($A233,Questions!$A$3:$X$333,19,0)&amp;""</f>
        <v>HIPAA</v>
      </c>
      <c r="D233" s="57" t="str">
        <f>VLOOKUP($A233,Questions!$A$3:$X$333,20,0)&amp;""</f>
        <v>Refer to HIPAA documentation or your institution's Chief HIPAA Security Officer.</v>
      </c>
    </row>
    <row r="234" spans="1:5" ht="23.25" customHeight="1" x14ac:dyDescent="0.2">
      <c r="A234" s="57" t="s">
        <v>621</v>
      </c>
      <c r="B234" s="57" t="str">
        <f>VLOOKUP($A234,Questions!$A$3:$X$333,2,0)&amp;""</f>
        <v>Does your application provide the ability to define user access levels?</v>
      </c>
      <c r="C234" s="57" t="str">
        <f>VLOOKUP($A234,Questions!$A$3:$X$333,19,0)&amp;""</f>
        <v>HIPAA</v>
      </c>
      <c r="D234" s="57" t="str">
        <f>VLOOKUP($A234,Questions!$A$3:$X$333,20,0)&amp;""</f>
        <v>Refer to HIPAA documentation or your institution's Chief HIPAA Security Officer.</v>
      </c>
    </row>
    <row r="235" spans="1:5" ht="22.5" customHeight="1" x14ac:dyDescent="0.2">
      <c r="A235" s="57" t="s">
        <v>623</v>
      </c>
      <c r="B235" s="57" t="str">
        <f>VLOOKUP($A235,Questions!$A$3:$X$333,2,0)&amp;""</f>
        <v>Does your application support varying levels of access to administrative tasks defined individually per user?</v>
      </c>
      <c r="C235" s="57" t="str">
        <f>VLOOKUP($A235,Questions!$A$3:$X$333,19,0)&amp;""</f>
        <v>HIPAA</v>
      </c>
      <c r="D235" s="57" t="str">
        <f>VLOOKUP($A235,Questions!$A$3:$X$333,20,0)&amp;""</f>
        <v>Refer to HIPAA documentation or your institution's Chief HIPAA Security Officer.</v>
      </c>
    </row>
    <row r="236" spans="1:5" ht="33" customHeight="1" x14ac:dyDescent="0.2">
      <c r="A236" s="57" t="s">
        <v>625</v>
      </c>
      <c r="B236" s="57" t="str">
        <f>VLOOKUP($A236,Questions!$A$3:$X$333,2,0)&amp;""</f>
        <v>Does your application support varying levels of access to records based on user ID?</v>
      </c>
      <c r="C236" s="57" t="str">
        <f>VLOOKUP($A236,Questions!$A$3:$X$333,19,0)&amp;""</f>
        <v>HIPAA</v>
      </c>
      <c r="D236" s="57" t="str">
        <f>VLOOKUP($A236,Questions!$A$3:$X$333,20,0)&amp;""</f>
        <v>Refer to HIPAA documentation or your institution's Chief HIPAA Security Officer.</v>
      </c>
      <c r="E236" s="241" t="s">
        <v>1454</v>
      </c>
    </row>
    <row r="237" spans="1:5" x14ac:dyDescent="0.2">
      <c r="A237" s="57" t="s">
        <v>626</v>
      </c>
      <c r="B237" s="57" t="str">
        <f>VLOOKUP($A237,Questions!$A$3:$X$333,2,0)&amp;""</f>
        <v>Is there a limit to the number of groups to which a user can be assigned?</v>
      </c>
      <c r="C237" s="57" t="str">
        <f>VLOOKUP($A237,Questions!$A$3:$X$333,19,0)&amp;""</f>
        <v>HIPAA</v>
      </c>
      <c r="D237" s="57" t="str">
        <f>VLOOKUP($A237,Questions!$A$3:$X$333,20,0)&amp;""</f>
        <v>Refer to HIPAA documentation or your institution's Chief HIPAA Security Officer.</v>
      </c>
    </row>
    <row r="238" spans="1:5" ht="36" customHeight="1" x14ac:dyDescent="0.2">
      <c r="A238" s="57" t="s">
        <v>628</v>
      </c>
      <c r="B238" s="57" t="str">
        <f>VLOOKUP($A238,Questions!$A$3:$X$333,2,0)&amp;""</f>
        <v>Do accounts used for solution provider-supplied remote support abide by the same authentication policies and access logging as the rest of the system?</v>
      </c>
      <c r="C238" s="57" t="str">
        <f>VLOOKUP($A238,Questions!$A$3:$X$333,19,0)&amp;""</f>
        <v>HIPAA</v>
      </c>
      <c r="D238" s="57" t="str">
        <f>VLOOKUP($A238,Questions!$A$3:$X$333,20,0)&amp;""</f>
        <v>Refer to HIPAA documentation or your institution's Chief HIPAA Security Officer.</v>
      </c>
    </row>
    <row r="239" spans="1:5" ht="36.75" customHeight="1" x14ac:dyDescent="0.2">
      <c r="A239" s="57" t="s">
        <v>629</v>
      </c>
      <c r="B239" s="57" t="str">
        <f>VLOOKUP($A239,Questions!$A$3:$X$333,2,0)&amp;""</f>
        <v>Does the application log record access including specific user, date/time of access, and originating IP or device?</v>
      </c>
      <c r="C239" s="57" t="str">
        <f>VLOOKUP($A239,Questions!$A$3:$X$333,19,0)&amp;""</f>
        <v>HIPAA</v>
      </c>
      <c r="D239" s="57" t="str">
        <f>VLOOKUP($A239,Questions!$A$3:$X$333,20,0)&amp;""</f>
        <v>Refer to HIPAA documentation or your institution's Chief HIPAA Security Officer.</v>
      </c>
    </row>
    <row r="240" spans="1:5" ht="40.5" customHeight="1" x14ac:dyDescent="0.2">
      <c r="A240" s="57" t="s">
        <v>630</v>
      </c>
      <c r="B240" s="57" t="str">
        <f>VLOOKUP($A240,Questions!$A$3:$X$333,2,0)&amp;""</f>
        <v>Does the application log administrative activity, such as user account access changes and password changes, including specific user, date/time of changes, and originating IP or device?</v>
      </c>
      <c r="C240" s="57" t="str">
        <f>VLOOKUP($A240,Questions!$A$3:$X$333,19,0)&amp;""</f>
        <v>HIPAA</v>
      </c>
      <c r="D240" s="57" t="str">
        <f>VLOOKUP($A240,Questions!$A$3:$X$333,20,0)&amp;""</f>
        <v>Refer to HIPAA documentation or your institution's Chief HIPAA Security Officer.</v>
      </c>
    </row>
    <row r="241" spans="1:5" ht="39" customHeight="1" x14ac:dyDescent="0.2">
      <c r="A241" s="57" t="s">
        <v>632</v>
      </c>
      <c r="B241" s="57" t="str">
        <f>VLOOKUP($A241,Questions!$A$3:$X$333,2,0)&amp;""</f>
        <v>Do you retain logs for at least as long as required by HIPAA regulations?</v>
      </c>
      <c r="C241" s="57" t="str">
        <f>VLOOKUP($A241,Questions!$A$3:$X$333,19,0)&amp;""</f>
        <v>HIPAA</v>
      </c>
      <c r="D241" s="57" t="str">
        <f>VLOOKUP($A241,Questions!$A$3:$X$333,20,0)&amp;""</f>
        <v>Refer to HIPAA documentation or your institution's Chief HIPAA Security Officer.</v>
      </c>
    </row>
    <row r="242" spans="1:5" ht="38.25" customHeight="1" x14ac:dyDescent="0.2">
      <c r="A242" s="57" t="s">
        <v>634</v>
      </c>
      <c r="B242" s="57" t="str">
        <f>VLOOKUP($A242,Questions!$A$3:$X$333,2,0)&amp;""</f>
        <v>Can the application logs be archived?</v>
      </c>
      <c r="C242" s="57" t="str">
        <f>VLOOKUP($A242,Questions!$A$3:$X$333,19,0)&amp;""</f>
        <v>HIPAA</v>
      </c>
      <c r="D242" s="57" t="str">
        <f>VLOOKUP($A242,Questions!$A$3:$X$333,20,0)&amp;""</f>
        <v>Refer to HIPAA documentation or your institution's Chief HIPAA Security Officer.</v>
      </c>
    </row>
    <row r="243" spans="1:5" ht="28.5" customHeight="1" x14ac:dyDescent="0.2">
      <c r="A243" s="57" t="s">
        <v>636</v>
      </c>
      <c r="B243" s="57" t="str">
        <f>VLOOKUP($A243,Questions!$A$3:$X$333,2,0)&amp;""</f>
        <v>Can the application logs be saved externally?</v>
      </c>
      <c r="C243" s="57" t="str">
        <f>VLOOKUP($A243,Questions!$A$3:$X$333,19,0)&amp;""</f>
        <v>HIPAA</v>
      </c>
      <c r="D243" s="57" t="str">
        <f>VLOOKUP($A243,Questions!$A$3:$X$333,20,0)&amp;""</f>
        <v>Refer to HIPAA documentation or your institution's Chief HIPAA Security Officer.</v>
      </c>
    </row>
    <row r="244" spans="1:5" ht="29.25" customHeight="1" x14ac:dyDescent="0.2">
      <c r="A244" s="57" t="s">
        <v>638</v>
      </c>
      <c r="B244" s="57" t="str">
        <f>VLOOKUP($A244,Questions!$A$3:$X$333,2,0)&amp;""</f>
        <v>Do you have a disaster recovery plan and emergency mode operation plan?</v>
      </c>
      <c r="C244" s="57" t="str">
        <f>VLOOKUP($A244,Questions!$A$3:$X$333,19,0)&amp;""</f>
        <v>HIPAA</v>
      </c>
      <c r="D244" s="57" t="str">
        <f>VLOOKUP($A244,Questions!$A$3:$X$333,20,0)&amp;""</f>
        <v>Refer to HIPAA documentation or your institution's Chief HIPAA Security Officer.</v>
      </c>
    </row>
    <row r="245" spans="1:5" ht="26.25" customHeight="1" x14ac:dyDescent="0.2">
      <c r="A245" s="57" t="s">
        <v>639</v>
      </c>
      <c r="B245" s="57" t="str">
        <f>VLOOKUP($A245,Questions!$A$3:$X$333,2,0)&amp;""</f>
        <v>Can you provide a HIPAA compliance attestation document?</v>
      </c>
      <c r="C245" s="57" t="str">
        <f>VLOOKUP($A245,Questions!$A$3:$X$333,19,0)&amp;""</f>
        <v>HIPAA</v>
      </c>
      <c r="D245" s="57" t="str">
        <f>VLOOKUP($A245,Questions!$A$3:$X$333,20,0)&amp;""</f>
        <v>Refer to HIPAA documentation or your institution's Chief HIPAA Security Officer.</v>
      </c>
    </row>
    <row r="246" spans="1:5" ht="36.75" customHeight="1" x14ac:dyDescent="0.2">
      <c r="A246" s="57" t="s">
        <v>641</v>
      </c>
      <c r="B246" s="57" t="str">
        <f>VLOOKUP($A246,Questions!$A$3:$X$333,2,0)&amp;""</f>
        <v>Are you willing to enter into a Business Associate Agreement (BAA)?</v>
      </c>
      <c r="C246" s="57" t="str">
        <f>VLOOKUP($A246,Questions!$A$3:$X$333,19,0)&amp;""</f>
        <v>HIPAA</v>
      </c>
      <c r="D246" s="57" t="str">
        <f>VLOOKUP($A246,Questions!$A$3:$X$333,20,0)&amp;""</f>
        <v>Refer to HIPAA documentation or your institution's Chief HIPAA Security Officer.</v>
      </c>
    </row>
    <row r="247" spans="1:5" ht="22.5" customHeight="1" x14ac:dyDescent="0.2">
      <c r="A247" s="57" t="s">
        <v>643</v>
      </c>
      <c r="B247" s="57" t="str">
        <f>VLOOKUP($A247,Questions!$A$3:$X$333,2,0)&amp;""</f>
        <v>Do your data backup and retention policies and practices meet HIPAA requirements?</v>
      </c>
      <c r="C247" s="57" t="str">
        <f>VLOOKUP($A247,Questions!$A$3:$X$333,19,0)&amp;""</f>
        <v>HIPAA</v>
      </c>
      <c r="D247" s="57" t="str">
        <f>VLOOKUP($A247,Questions!$A$3:$X$333,20,0)&amp;""</f>
        <v>Refer to HIPAA documentation or your institution's Chief HIPAA Security Officer.</v>
      </c>
    </row>
    <row r="248" spans="1:5" ht="24.75" customHeight="1" x14ac:dyDescent="0.2">
      <c r="A248" s="63" t="str">
        <f>VLOOKUP(LEFT($A249,4),'Auto Responses'!$N$4:$O$38,2,0)&amp;""</f>
        <v xml:space="preserve"> Payment Card Industry Data Security Standard (PCI DSS)</v>
      </c>
      <c r="B248" s="63"/>
      <c r="C248" s="56" t="str">
        <f>Questions!$S$2</f>
        <v>Reason for Question</v>
      </c>
      <c r="D248" s="56" t="str">
        <f>Questions!$T$2</f>
        <v>Follow-Up Inquiries/Responses</v>
      </c>
    </row>
    <row r="249" spans="1:5" ht="51" customHeight="1" x14ac:dyDescent="0.2">
      <c r="A249" s="57" t="s">
        <v>644</v>
      </c>
      <c r="B249" s="57" t="str">
        <f>VLOOKUP($A249,Questions!$A$3:$X$333,2,0)&amp;""</f>
        <v>Do you have a current, executed within the past year, Attestation of Compliance (AoC) or Report on Compliance (RoC)?*</v>
      </c>
      <c r="C249" s="57" t="str">
        <f>VLOOKUP($A249,Questions!$A$3:$X$333,19,0)&amp;""</f>
        <v>PCI DSS</v>
      </c>
      <c r="D249" s="57" t="str">
        <f>VLOOKUP($A249,Questions!$A$3:$X$333,20,0)&amp;""</f>
        <v>Refer to PCI DSS documentation or your institution's treasurer's office.</v>
      </c>
      <c r="E249" s="241" t="s">
        <v>1454</v>
      </c>
    </row>
    <row r="250" spans="1:5" ht="28.5" x14ac:dyDescent="0.2">
      <c r="A250" s="57" t="s">
        <v>648</v>
      </c>
      <c r="B250" s="57" t="str">
        <f>VLOOKUP($A250,Questions!$A$3:$X$333,2,0)&amp;""</f>
        <v>Is the application listed as an approved Payment Application Data Security Standard (PA-DSS) application?*</v>
      </c>
      <c r="C250" s="57" t="str">
        <f>VLOOKUP($A250,Questions!$A$3:$X$333,19,0)&amp;""</f>
        <v>PCI DSS</v>
      </c>
      <c r="D250" s="57" t="str">
        <f>VLOOKUP($A250,Questions!$A$3:$X$333,20,0)&amp;""</f>
        <v>Refer to PCI DSS documentation or your institution's treasurer's office.</v>
      </c>
    </row>
    <row r="251" spans="1:5" ht="68.25" customHeight="1" x14ac:dyDescent="0.2">
      <c r="A251" s="57" t="s">
        <v>650</v>
      </c>
      <c r="B251" s="57" t="str">
        <f>VLOOKUP($A251,Questions!$A$3:$X$333,2,0)&amp;""</f>
        <v>Does the system or solutions use a third party to collect, store, process, or transmit cardholder (payment/credit/debt card) data?*</v>
      </c>
      <c r="C251" s="57" t="str">
        <f>VLOOKUP($A251,Questions!$A$3:$X$333,19,0)&amp;""</f>
        <v>PCI DSS</v>
      </c>
      <c r="D251" s="57" t="str">
        <f>VLOOKUP($A251,Questions!$A$3:$X$333,20,0)&amp;""</f>
        <v>Refer to PCI DSS documentation or your institution's treasurer's office.</v>
      </c>
    </row>
    <row r="252" spans="1:5" ht="71.25" customHeight="1" x14ac:dyDescent="0.2">
      <c r="A252" s="57" t="s">
        <v>651</v>
      </c>
      <c r="B252" s="57" t="str">
        <f>VLOOKUP($A252,Questions!$A$3:$X$333,2,0)&amp;""</f>
        <v>Do your systems or solutions store, process, or transmit cardholder (payment/credit/debt card) data?</v>
      </c>
      <c r="C252" s="57" t="str">
        <f>VLOOKUP($A252,Questions!$A$3:$X$333,19,0)&amp;""</f>
        <v>PCI DSS</v>
      </c>
      <c r="D252" s="57" t="str">
        <f>VLOOKUP($A252,Questions!$A$3:$X$333,20,0)&amp;""</f>
        <v>Refer to PCI DSS documentation or your institution's treasurer's office.</v>
      </c>
    </row>
    <row r="253" spans="1:5" ht="68.25" customHeight="1" x14ac:dyDescent="0.2">
      <c r="A253" s="57" t="s">
        <v>653</v>
      </c>
      <c r="B253" s="57" t="str">
        <f>VLOOKUP($A253,Questions!$A$3:$X$333,2,0)&amp;""</f>
        <v>Are you compliant with the Payment Card Industry Data Security Standard (PCI DSS)?</v>
      </c>
      <c r="C253" s="57" t="str">
        <f>VLOOKUP($A253,Questions!$A$3:$X$333,19,0)&amp;""</f>
        <v>PCI DSS</v>
      </c>
      <c r="D253" s="57" t="str">
        <f>VLOOKUP($A253,Questions!$A$3:$X$333,20,0)&amp;""</f>
        <v>Refer to PCI DSS documentation or your institution's treasurer's office.</v>
      </c>
    </row>
    <row r="254" spans="1:5" ht="76.5" customHeight="1" x14ac:dyDescent="0.2">
      <c r="A254" s="57" t="s">
        <v>654</v>
      </c>
      <c r="B254" s="57" t="str">
        <f>VLOOKUP($A254,Questions!$A$3:$X$333,2,0)&amp;""</f>
        <v>Are you classified as a service provider?</v>
      </c>
      <c r="C254" s="57" t="str">
        <f>VLOOKUP($A254,Questions!$A$3:$X$333,19,0)&amp;""</f>
        <v>PCI DSS</v>
      </c>
      <c r="D254" s="57" t="str">
        <f>VLOOKUP($A254,Questions!$A$3:$X$333,20,0)&amp;""</f>
        <v>Refer to PCI DSS documentation or your institution's treasurer's office.</v>
      </c>
    </row>
    <row r="255" spans="1:5" ht="81" customHeight="1" x14ac:dyDescent="0.2">
      <c r="A255" s="57" t="s">
        <v>656</v>
      </c>
      <c r="B255" s="57" t="str">
        <f>VLOOKUP($A255,Questions!$A$3:$X$333,2,0)&amp;""</f>
        <v>Are you on the list of Visa approved service providers?</v>
      </c>
      <c r="C255" s="57" t="str">
        <f>VLOOKUP($A255,Questions!$A$3:$X$333,19,0)&amp;""</f>
        <v>PCI DSS</v>
      </c>
      <c r="D255" s="57" t="str">
        <f>VLOOKUP($A255,Questions!$A$3:$X$333,20,0)&amp;""</f>
        <v>Refer to PCI DSS documentation or your institution's treasurer's office.</v>
      </c>
    </row>
    <row r="256" spans="1:5" ht="38.25" customHeight="1" x14ac:dyDescent="0.2">
      <c r="A256" s="57" t="s">
        <v>658</v>
      </c>
      <c r="B256" s="57" t="str">
        <f>VLOOKUP($A256,Questions!$A$3:$X$333,2,0)&amp;""</f>
        <v>Are you classified as a merchant? If so, what level (1, 2, 3, 4)?</v>
      </c>
      <c r="C256" s="57" t="str">
        <f>VLOOKUP($A256,Questions!$A$3:$X$333,19,0)&amp;""</f>
        <v>PCI DSS</v>
      </c>
      <c r="D256" s="57" t="str">
        <f>VLOOKUP($A256,Questions!$A$3:$X$333,20,0)&amp;""</f>
        <v>Refer to PCI DSS documentation or your institution's treasurer's office.</v>
      </c>
    </row>
    <row r="257" spans="1:5" ht="61.5" customHeight="1" x14ac:dyDescent="0.2">
      <c r="A257" s="57" t="s">
        <v>660</v>
      </c>
      <c r="B257" s="57" t="str">
        <f>VLOOKUP($A257,Questions!$A$3:$X$333,2,0)&amp;""</f>
        <v>Describe the architecture employed by the system to verify and authorize credit card transactions.</v>
      </c>
      <c r="C257" s="57" t="str">
        <f>VLOOKUP($A257,Questions!$A$3:$X$333,19,0)&amp;""</f>
        <v>PCI DSS</v>
      </c>
      <c r="D257" s="57" t="str">
        <f>VLOOKUP($A257,Questions!$A$3:$X$333,20,0)&amp;""</f>
        <v>Refer to PCI DSS documentation or your institution's treasurer's office.</v>
      </c>
    </row>
    <row r="258" spans="1:5" ht="54" customHeight="1" x14ac:dyDescent="0.2">
      <c r="A258" s="57" t="s">
        <v>661</v>
      </c>
      <c r="B258" s="57" t="str">
        <f>VLOOKUP($A258,Questions!$A$3:$X$333,2,0)&amp;""</f>
        <v>What payment processors/gateways does the system support?</v>
      </c>
      <c r="C258" s="57" t="str">
        <f>VLOOKUP($A258,Questions!$A$3:$X$333,19,0)&amp;""</f>
        <v>PCI DSS</v>
      </c>
      <c r="D258" s="57" t="str">
        <f>VLOOKUP($A258,Questions!$A$3:$X$333,20,0)&amp;""</f>
        <v>Refer to PCI DSS documentation or your institution's treasurer's office.</v>
      </c>
      <c r="E258" s="51"/>
    </row>
    <row r="259" spans="1:5" x14ac:dyDescent="0.2">
      <c r="A259" s="57" t="s">
        <v>662</v>
      </c>
      <c r="B259" s="57" t="str">
        <f>VLOOKUP($A259,Questions!$A$3:$X$333,2,0)&amp;""</f>
        <v>Can the application be installed in a PCI DSS–compliant manner?</v>
      </c>
      <c r="C259" s="57" t="str">
        <f>VLOOKUP($A259,Questions!$A$3:$X$333,19,0)&amp;""</f>
        <v>PCI DSS</v>
      </c>
      <c r="D259" s="57" t="str">
        <f>VLOOKUP($A259,Questions!$A$3:$X$333,20,0)&amp;""</f>
        <v>Refer to PCI DSS documentation or your institution's treasurer's office.</v>
      </c>
      <c r="E259" s="51"/>
    </row>
    <row r="260" spans="1:5" ht="60.75" customHeight="1" x14ac:dyDescent="0.2">
      <c r="A260" s="57" t="s">
        <v>663</v>
      </c>
      <c r="B260" s="57" t="str">
        <f>VLOOKUP($A260,Questions!$A$3:$X$333,2,0)&amp;""</f>
        <v>Include documentation describing the system's abilities to comply with the PCI DSS and any features or capabilities of the system that must be added or changed in order to operate in compliance with the standards.</v>
      </c>
      <c r="C260" s="57" t="str">
        <f>VLOOKUP($A260,Questions!$A$3:$X$333,19,0)&amp;""</f>
        <v>PCI DSS</v>
      </c>
      <c r="D260" s="57" t="str">
        <f>VLOOKUP($A260,Questions!$A$3:$X$333,20,0)&amp;""</f>
        <v>Refer to PCI DSS documentation or your institution's treasurer's office.</v>
      </c>
      <c r="E260" s="241" t="s">
        <v>1454</v>
      </c>
    </row>
    <row r="261" spans="1:5" ht="18" x14ac:dyDescent="0.2">
      <c r="A261" s="63" t="str">
        <f>VLOOKUP(LEFT($A262,4),'Auto Responses'!$N$4:$O$38,2,0)&amp;""</f>
        <v xml:space="preserve"> On-Premises Data Solutions</v>
      </c>
      <c r="B261" s="63"/>
      <c r="C261" s="56" t="str">
        <f>Questions!$S$2</f>
        <v>Reason for Question</v>
      </c>
      <c r="D261" s="56" t="str">
        <f>Questions!$T$2</f>
        <v>Follow-Up Inquiries/Responses</v>
      </c>
    </row>
    <row r="262" spans="1:5" ht="65.25" customHeight="1" x14ac:dyDescent="0.2">
      <c r="A262" s="57" t="s">
        <v>664</v>
      </c>
      <c r="B262" s="57" t="str">
        <f>VLOOKUP($A262,Questions!$A$3:$X$333,2,0)&amp;""</f>
        <v>Do you support role-based access control (RBAC) for system administrators?</v>
      </c>
      <c r="C262" s="57" t="str">
        <f>VLOOKUP($A262,Questions!$A$3:$X$333,19,0)&amp;""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62" s="57" t="str">
        <f>VLOOKUP($A262,Questions!$A$3:$X$333,20,0)&amp;""</f>
        <v>Ask the solution provider to summarize the best practices for securing their system(s) administratively without the use of RBAC. Make sure to understand the administrative requirements/overhead introduced in the solution provider's environment.</v>
      </c>
    </row>
    <row r="263" spans="1:5" ht="78" customHeight="1" x14ac:dyDescent="0.2">
      <c r="A263" s="57" t="s">
        <v>666</v>
      </c>
      <c r="B263" s="57" t="str">
        <f>VLOOKUP($A263,Questions!$A$3:$X$333,2,0)&amp;""</f>
        <v>Can your employees access customer systems remotely?</v>
      </c>
      <c r="C263" s="57" t="str">
        <f>VLOOKUP($A263,Questions!$A$3:$X$333,19,0)&amp;""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63" s="57" t="str">
        <f>VLOOKUP($A263,Questions!$A$3:$X$333,20,0)&amp;""</f>
        <v>Ask the solution provider to summarize the reasoning behind this business process and request additional documentation that outlines the security controls implemented to safeguard institutional data.</v>
      </c>
    </row>
    <row r="264" spans="1:5" ht="60.75" customHeight="1" x14ac:dyDescent="0.2">
      <c r="A264" s="57" t="s">
        <v>670</v>
      </c>
      <c r="B264" s="57" t="str">
        <f>VLOOKUP($A264,Questions!$A$3:$X$333,2,0)&amp;""</f>
        <v>Can you provide overall system and/or application architecture diagrams including a full description of the data communications architecture for all components of the system?</v>
      </c>
      <c r="C264" s="57" t="str">
        <f>VLOOKUP($A264,Questions!$A$3:$X$333,19,0)&amp;""</f>
        <v>Many systems can be used a variety of ways. We want these implementation type diagrams so that we can understand the "real" use of the solution.</v>
      </c>
      <c r="D264" s="57" t="str">
        <f>VLOOKUP($A264,Questions!$A$3:$X$333,20,0)&amp;""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65" spans="1:5" ht="78.75" customHeight="1" x14ac:dyDescent="0.2">
      <c r="A265" s="57" t="s">
        <v>674</v>
      </c>
      <c r="B265" s="57" t="str">
        <f>VLOOKUP($A265,Questions!$A$3:$X$333,2,0)&amp;""</f>
        <v>Do you require remote management of the system?</v>
      </c>
      <c r="C265" s="57" t="str">
        <f>VLOOKUP($A265,Questions!$A$3:$X$333,19,0)&amp;""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65" s="57" t="str">
        <f>VLOOKUP($A265,Questions!$A$3:$X$333,20,0)&amp;""</f>
        <v>Ask the solution provider to summarize the reasoning behind this business process and request additional documentation that outlines the security controls implemented to safeguard institutional data.</v>
      </c>
    </row>
    <row r="266" spans="1:5" ht="74.25" customHeight="1" x14ac:dyDescent="0.2">
      <c r="A266" s="57" t="s">
        <v>677</v>
      </c>
      <c r="B266" s="57" t="str">
        <f>VLOOKUP($A266,Questions!$A$3:$X$333,2,0)&amp;""</f>
        <v>If you answered "yes" to OPEM-04, are your remote actions and changes logged or otherwise visible to the campus?</v>
      </c>
      <c r="C266" s="57" t="str">
        <f>VLOOKUP($A266,Questions!$A$3:$X$333,19,0)&amp;""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66" s="57" t="str">
        <f>VLOOKUP($A266,Questions!$A$3:$X$333,20,0)&amp;""</f>
        <v>If a weak response is given to this answer, it is appropriate to ask directed answers to get specific information. Ensure that questions are targeted to ensure responses will come from the appropriate party within the solution provider.</v>
      </c>
      <c r="E266" s="241" t="s">
        <v>1454</v>
      </c>
    </row>
    <row r="267" spans="1:5" ht="28.5" x14ac:dyDescent="0.2">
      <c r="A267" s="57" t="s">
        <v>681</v>
      </c>
      <c r="B267" s="57" t="str">
        <f>VLOOKUP($A267,Questions!$A$3:$X$333,2,0)&amp;""</f>
        <v>If you maintain remote access to the system, will you handle data in a FERPA-compliant manner?</v>
      </c>
      <c r="C267" s="57" t="str">
        <f>VLOOKUP($A267,Questions!$A$3:$X$333,19,0)&amp;""</f>
        <v>This is standard documentation, relevant to institution implementations requiring FERPA compliance.</v>
      </c>
      <c r="D267" s="57" t="str">
        <f>VLOOKUP($A267,Questions!$A$3:$X$333,20,0)&amp;""</f>
        <v>Follow-up inquiries for FERPA compliance details will be institution/implementation specific.</v>
      </c>
    </row>
    <row r="268" spans="1:5" ht="60" customHeight="1" x14ac:dyDescent="0.2">
      <c r="A268" s="57" t="s">
        <v>683</v>
      </c>
      <c r="B268" s="57" t="str">
        <f>VLOOKUP($A268,Questions!$A$3:$X$333,2,0)&amp;""</f>
        <v>Do you support campus status monitoring through SNMPv3 or other means?</v>
      </c>
      <c r="C268" s="57" t="str">
        <f>VLOOKUP($A268,Questions!$A$3:$X$333,19,0)&amp;""</f>
        <v>Standard documentation question. With an on-premise device, the possibility to tie-in with existing monitoring/management systems is beneficial. The solution provider's response should be clear and concise.</v>
      </c>
      <c r="D268" s="57" t="str">
        <f>VLOOKUP($A268,Questions!$A$3:$X$333,20,0)&amp;""</f>
        <v>Follow-up inquiries for monitoring via SNMPv3 will be institution/implementation specific.</v>
      </c>
    </row>
    <row r="269" spans="1:5" ht="58.5" customHeight="1" x14ac:dyDescent="0.2">
      <c r="A269" s="57" t="s">
        <v>686</v>
      </c>
      <c r="B269" s="57" t="str">
        <f>VLOOKUP($A269,Questions!$A$3:$X$333,2,0)&amp;""</f>
        <v>Describe or provide a reference to any other safeguards used to monitor for malicious activity.</v>
      </c>
      <c r="C269" s="57" t="str">
        <f>VLOOKUP($A269,Questions!$A$3:$X$333,19,0)&amp;""</f>
        <v>This question is primarily focused on system(s) integrity and confidentiality. The solution provider's response should clearly state the system(s) capabilities to properly monitor for (and alert for) malicious activity.</v>
      </c>
      <c r="D269" s="57" t="str">
        <f>VLOOKUP($A269,Questions!$A$3:$X$333,20,0)&amp;""</f>
        <v>Follow-up inquiries for system monitoring will be institution/implementation specific.</v>
      </c>
    </row>
    <row r="270" spans="1:5" ht="51.75" customHeight="1" x14ac:dyDescent="0.2">
      <c r="A270" s="57" t="s">
        <v>687</v>
      </c>
      <c r="B270" s="57" t="str">
        <f>VLOOKUP($A270,Questions!$A$3:$X$333,2,0)&amp;""</f>
        <v>Describe how long your organization has conducted business in this area.</v>
      </c>
      <c r="C270" s="57" t="str">
        <f>VLOOKUP($A270,Questions!$A$3:$X$333,19,0)&amp;""</f>
        <v>We want to establish longevity of a solution and whether or not a solution provider is new to the higher education space.</v>
      </c>
      <c r="D270" s="57" t="str">
        <f>VLOOKUP($A270,Questions!$A$3:$X$333,20,0)&amp;""</f>
        <v>Normally a solution provider will state their overall longevity but not talk about the software/service/product under evaluation. Follow-ups includes specific questions about the origins of the software/service/product and references will be requested.</v>
      </c>
    </row>
    <row r="271" spans="1:5" ht="63.75" customHeight="1" x14ac:dyDescent="0.2">
      <c r="A271" s="57" t="s">
        <v>692</v>
      </c>
      <c r="B271" s="57" t="str">
        <f>VLOOKUP($A271,Questions!$A$3:$X$333,2,0)&amp;""</f>
        <v>Do you have existing higher education customers?</v>
      </c>
      <c r="C271" s="57" t="str">
        <f>VLOOKUP($A271,Questions!$A$3:$X$333,19,0)&amp;""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71" s="57" t="str">
        <f>VLOOKUP($A271,Questions!$A$3:$X$333,20,0)&amp;""</f>
        <v>A simple "yes" without any references or supporting information should be questioned. Question the size of institutions that are using the solution and the scope of their implementations.</v>
      </c>
      <c r="E271" s="241" t="s">
        <v>1454</v>
      </c>
    </row>
    <row r="272" spans="1:5" ht="18" x14ac:dyDescent="0.2">
      <c r="A272" s="63" t="str">
        <f>VLOOKUP(LEFT($A273,4),'Auto Responses'!$N$4:$O$38,2,0)&amp;""</f>
        <v xml:space="preserve"> AI Qualifying Questions</v>
      </c>
      <c r="B272" s="63"/>
      <c r="C272" s="56" t="str">
        <f>Questions!$S$2</f>
        <v>Reason for Question</v>
      </c>
      <c r="D272" s="56" t="str">
        <f>Questions!$T$2</f>
        <v>Follow-Up Inquiries/Responses</v>
      </c>
    </row>
    <row r="273" spans="1:5" ht="36" customHeight="1" x14ac:dyDescent="0.2">
      <c r="A273" s="57" t="s">
        <v>782</v>
      </c>
      <c r="B273" s="57" t="str">
        <f>VLOOKUP($A273,Questions!$A$3:$X$333,2,0)&amp;""</f>
        <v>Does your solution leverage machine learning (ML) or do you plan to do so in the next 12 months?</v>
      </c>
      <c r="C273" s="57" t="str">
        <f>VLOOKUP($A273,Questions!$A$3:$X$333,19,0)&amp;""</f>
        <v/>
      </c>
      <c r="D273" s="57" t="str">
        <f>VLOOKUP($A273,Questions!$A$3:$X$333,20,0)&amp;""</f>
        <v/>
      </c>
    </row>
    <row r="274" spans="1:5" ht="38.25" customHeight="1" x14ac:dyDescent="0.2">
      <c r="A274" s="57" t="s">
        <v>783</v>
      </c>
      <c r="B274" s="57" t="str">
        <f>VLOOKUP($A274,Questions!$A$3:$X$333,2,0)&amp;""</f>
        <v>Does your solution leverage a large language model (LLM) or do you plan to do so in the next 12 months?</v>
      </c>
      <c r="C274" s="57" t="str">
        <f>VLOOKUP($A274,Questions!$A$3:$X$333,19,0)&amp;""</f>
        <v/>
      </c>
      <c r="D274" s="57" t="str">
        <f>VLOOKUP($A274,Questions!$A$3:$X$333,20,0)&amp;""</f>
        <v/>
      </c>
    </row>
    <row r="275" spans="1:5" ht="39" customHeight="1" x14ac:dyDescent="0.2">
      <c r="A275" s="63" t="str">
        <f>VLOOKUP(LEFT($A276,4),'Auto Responses'!$N$4:$O$38,2,0)&amp;""</f>
        <v xml:space="preserve"> General AI Questions</v>
      </c>
      <c r="B275" s="63"/>
      <c r="C275" s="56" t="str">
        <f>Questions!$S$2</f>
        <v>Reason for Question</v>
      </c>
      <c r="D275" s="56" t="str">
        <f>Questions!$T$2</f>
        <v>Follow-Up Inquiries/Responses</v>
      </c>
      <c r="E275" s="241" t="s">
        <v>1454</v>
      </c>
    </row>
    <row r="276" spans="1:5" ht="28.5" x14ac:dyDescent="0.2">
      <c r="A276" s="57" t="s">
        <v>784</v>
      </c>
      <c r="B276" s="57" t="str">
        <f>VLOOKUP($A276,Questions!$A$3:$X$333,2,0)&amp;""</f>
        <v>Does your solution have an AI risk model when developing or implementing your solution's AI model?*</v>
      </c>
      <c r="C276" s="57" t="str">
        <f>VLOOKUP($A276,Questions!$A$3:$X$333,19,0)&amp;""</f>
        <v>To ensure the vendor has proactive governance and has a defined, documented risk management strategy that is aligned with responsible AI.</v>
      </c>
      <c r="D276" s="57" t="str">
        <f>VLOOKUP($A276,Questions!$A$3:$X$333,20,0)&amp;""</f>
        <v>Can the AI risk model or framework in use be shared? How often is it reviewed and updated? If an AI framework is not in use, what practices are currently used to address AI risks?</v>
      </c>
    </row>
    <row r="277" spans="1:5" ht="50.25" customHeight="1" x14ac:dyDescent="0.2">
      <c r="A277" s="57" t="s">
        <v>785</v>
      </c>
      <c r="B277" s="57" t="str">
        <f>VLOOKUP($A277,Questions!$A$3:$X$333,2,0)&amp;""</f>
        <v>Can your solution's AI features be disabled by tenant and/or user?*</v>
      </c>
      <c r="C277" s="57" t="str">
        <f>VLOOKUP($A277,Questions!$A$3:$X$333,19,0)&amp;""</f>
        <v>To verify whether customers have control over AI features and can opt out when AI is not desired or creates compliance concerns.</v>
      </c>
      <c r="D277" s="57" t="str">
        <f>VLOOKUP($A277,Questions!$A$3:$X$333,20,0)&amp;""</f>
        <v>How easy is it to disable/enable AI features?</v>
      </c>
    </row>
    <row r="278" spans="1:5" ht="60.75" customHeight="1" x14ac:dyDescent="0.2">
      <c r="A278" s="57" t="s">
        <v>786</v>
      </c>
      <c r="B278" s="57" t="str">
        <f>VLOOKUP($A278,Questions!$A$3:$X$333,2,0)&amp;""</f>
        <v>Have your staff completed responsible AI training?*</v>
      </c>
      <c r="C278" s="57" t="str">
        <f>VLOOKUP($A278,Questions!$A$3:$X$333,19,0)&amp;""</f>
        <v>To confirm that staff are educated on ethical AI principles, data stewardship, bias mitigation, and compliance, ensuring responsible use and support for customers.</v>
      </c>
      <c r="D278" s="57" t="str">
        <f>VLOOKUP($A278,Questions!$A$3:$X$333,20,0)&amp;""</f>
        <v>Clarify the structure and enforcement of training supports transparency and accountability in AI-related operations.</v>
      </c>
      <c r="E278" s="241" t="s">
        <v>1454</v>
      </c>
    </row>
    <row r="279" spans="1:5" ht="42.75" x14ac:dyDescent="0.2">
      <c r="A279" s="57" t="s">
        <v>787</v>
      </c>
      <c r="B279" s="57" t="str">
        <f>VLOOKUP($A279,Questions!$A$3:$X$333,2,0)&amp;""</f>
        <v>Please describe the capabilities of your solution's AI features.</v>
      </c>
      <c r="C279" s="57" t="str">
        <f>VLOOKUP($A279,Questions!$A$3:$X$333,19,0)&amp;""</f>
        <v>To help institutions understand the scope, functionality, and intended use cases of the AI feature(s) and evaluate whether its capabilities align with institutional needs and risk tolerance.</v>
      </c>
      <c r="D279" s="57" t="str">
        <f>VLOOKUP($A279,Questions!$A$3:$X$333,20,0)&amp;""</f>
        <v>Can documentation of supported AI functions, limitations, and safeguards be provided?</v>
      </c>
    </row>
    <row r="280" spans="1:5" ht="39" customHeight="1" x14ac:dyDescent="0.2">
      <c r="A280" s="57" t="s">
        <v>788</v>
      </c>
      <c r="B280" s="57" t="str">
        <f>VLOOKUP($A280,Questions!$A$3:$X$333,2,0)&amp;""</f>
        <v>Does your solution support business rules to protect sensitive data from being ingested by the AI model?</v>
      </c>
      <c r="C280" s="57" t="str">
        <f>VLOOKUP($A280,Questions!$A$3:$X$333,19,0)&amp;""</f>
        <v>To determine the risk of sensitive data exposure from AI feature inputs and outputs.</v>
      </c>
      <c r="D280" s="57" t="str">
        <f>VLOOKUP($A280,Questions!$A$3:$X$333,20,0)&amp;""</f>
        <v>Can you provide examples of data loss prevention (DLP) features? Where are these DLP solutions implemented? Are these DLP features customizable?</v>
      </c>
    </row>
    <row r="281" spans="1:5" ht="38.25" customHeight="1" x14ac:dyDescent="0.2">
      <c r="A281" s="63" t="str">
        <f>VLOOKUP(LEFT($A282,4),'Auto Responses'!$N$4:$O$38,2,0)&amp;""</f>
        <v xml:space="preserve"> AI Policy</v>
      </c>
      <c r="B281" s="63"/>
      <c r="C281" s="56" t="str">
        <f>Questions!$S$2</f>
        <v>Reason for Question</v>
      </c>
      <c r="D281" s="56" t="str">
        <f>Questions!$T$2</f>
        <v>Follow-Up Inquiries/Responses</v>
      </c>
      <c r="E281" s="241" t="s">
        <v>1454</v>
      </c>
    </row>
    <row r="282" spans="1:5" ht="57" x14ac:dyDescent="0.2">
      <c r="A282" s="57" t="s">
        <v>789</v>
      </c>
      <c r="B282" s="57" t="str">
        <f>VLOOKUP($A282,Questions!$A$3:$X$333,2,0)&amp;""</f>
        <v>Are your AI developer's policies, processes, procedures, and practices across the organization related to the mapping, measuring, and managing of AI risks conspicuously posted, unambiguous, and implemented effectively?*</v>
      </c>
      <c r="C282" s="57" t="str">
        <f>VLOOKUP($A282,Questions!$A$3:$X$333,19,0)&amp;""</f>
        <v>To ensure that the vendor has established a mature AI governance framework, is prepared to manage the complex and evolving risks of AI, and is not likely to transfer that risk directly to customers.</v>
      </c>
      <c r="D282" s="57" t="str">
        <f>VLOOKUP($A282,Questions!$A$3:$X$333,20,0)&amp;""</f>
        <v>Given that a lack of formal governance can expose our institution to significant legal and reputational risks, how can you assure us that partnering with you will not transfer these liabilities to our organization?</v>
      </c>
    </row>
    <row r="283" spans="1:5" ht="56.25" customHeight="1" x14ac:dyDescent="0.2">
      <c r="A283" s="57" t="s">
        <v>790</v>
      </c>
      <c r="B283" s="57" t="str">
        <f>VLOOKUP($A283,Questions!$A$3:$X$333,2,0)&amp;""</f>
        <v>Have you identified and measured AI risks?*</v>
      </c>
      <c r="C283" s="57" t="str">
        <f>VLOOKUP($A283,Questions!$A$3:$X$333,19,0)&amp;""</f>
        <v>To help an organization verify that the vendor has a mature, proactive risk management framework in place, which is essential to protect the organization from the legal, financial, and reputational liabilities that can arise from a poorly governed AI system.</v>
      </c>
      <c r="D283" s="57" t="str">
        <f>VLOOKUP($A283,Questions!$A$3:$X$333,20,0)&amp;""</f>
        <v>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v>
      </c>
    </row>
    <row r="284" spans="1:5" ht="68.25" customHeight="1" x14ac:dyDescent="0.2">
      <c r="A284" s="57" t="s">
        <v>791</v>
      </c>
      <c r="B284" s="57" t="str">
        <f>VLOOKUP($A284,Questions!$A$3:$X$333,2,0)&amp;""</f>
        <v>In the event of an incident, can your solution's AI features be disabled in a timely manner?*</v>
      </c>
      <c r="C284" s="57" t="str">
        <f>VLOOKUP($A284,Questions!$A$3:$X$333,19,0)&amp;""</f>
        <v>The ability to disable/enable AI features is essential for containing an incident and preventing a security or ethical failure.</v>
      </c>
      <c r="D284" s="57" t="str">
        <f>VLOOKUP($A284,Questions!$A$3:$X$333,20,0)&amp;""</f>
        <v>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v>
      </c>
    </row>
    <row r="285" spans="1:5" ht="50.25" customHeight="1" x14ac:dyDescent="0.2">
      <c r="A285" s="57" t="s">
        <v>792</v>
      </c>
      <c r="B285" s="57" t="str">
        <f>VLOOKUP($A285,Questions!$A$3:$X$333,2,0)&amp;""</f>
        <v>If disabled because of an incident, can your solution's AI features be re-enabled in a timely manner?*</v>
      </c>
      <c r="C285" s="57" t="str">
        <f>VLOOKUP($A285,Questions!$A$3:$X$333,19,0)&amp;""</f>
        <v>This helps an organization create a business continuity plan and incident recovery plan.</v>
      </c>
      <c r="D285" s="57" t="str">
        <f>VLOOKUP($A285,Questions!$A$3:$X$333,20,0)&amp;""</f>
        <v/>
      </c>
    </row>
    <row r="286" spans="1:5" ht="65.25" customHeight="1" x14ac:dyDescent="0.2">
      <c r="A286" s="57" t="s">
        <v>793</v>
      </c>
      <c r="B286" s="57" t="str">
        <f>VLOOKUP($A286,Questions!$A$3:$X$333,2,0)&amp;""</f>
        <v>Do you have documented technical and procedural processes to address potential negative impacts of AI as described by the AI Risk Management Framework (RMF)?</v>
      </c>
      <c r="C286" s="57" t="str">
        <f>VLOOKUP($A286,Questions!$A$3:$X$333,19,0)&amp;""</f>
        <v>This question helps maximize the value of the AI feature(s) while minimizing the negative impacts of AI.</v>
      </c>
      <c r="D286" s="57" t="str">
        <f>VLOOKUP($A286,Questions!$A$3:$X$333,20,0)&amp;""</f>
        <v>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v>
      </c>
    </row>
    <row r="287" spans="1:5" s="57" customFormat="1" ht="18.75" customHeight="1" x14ac:dyDescent="0.2">
      <c r="A287" s="63" t="str">
        <f>VLOOKUP(LEFT($A288,4),'Auto Responses'!$N$4:$O$38,2,0)&amp;""</f>
        <v xml:space="preserve"> AI Data Security</v>
      </c>
      <c r="B287" s="63"/>
      <c r="C287" s="56" t="str">
        <f>Questions!$S$2</f>
        <v>Reason for Question</v>
      </c>
      <c r="D287" s="56" t="str">
        <f>Questions!$T$2</f>
        <v>Follow-Up Inquiries/Responses</v>
      </c>
    </row>
    <row r="288" spans="1:5" s="57" customFormat="1" ht="71.25" x14ac:dyDescent="0.2">
      <c r="A288" s="57" t="s">
        <v>794</v>
      </c>
      <c r="B288" s="57" t="str">
        <f>VLOOKUP($A288,Questions!$A$3:$X$333,2,0)&amp;""</f>
        <v>If sensitive data is introduced to your solution's AI model, can the data be removed from the AI model by request?*</v>
      </c>
      <c r="C288" s="57" t="str">
        <f>VLOOKUP($A288,Questions!$A$3:$X$333,19,0)&amp;""</f>
        <v>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v>
      </c>
      <c r="D288" s="57" t="str">
        <f>VLOOKUP($A288,Questions!$A$3:$X$333,20,0)&amp;""</f>
        <v>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v>
      </c>
    </row>
    <row r="289" spans="1:5" ht="71.25" x14ac:dyDescent="0.2">
      <c r="A289" s="57" t="s">
        <v>795</v>
      </c>
      <c r="B289" s="57" t="str">
        <f>VLOOKUP($A289,Questions!$A$3:$X$333,2,0)&amp;""</f>
        <v>Is user input data used to influence your solution's AI model?*</v>
      </c>
      <c r="C289" s="57" t="str">
        <f>VLOOKUP($A289,Questions!$A$3:$X$333,19,0)&amp;""</f>
        <v>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v>
      </c>
      <c r="D289" s="57" t="str">
        <f>VLOOKUP($A289,Questions!$A$3:$X$333,20,0)&amp;""</f>
        <v>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v>
      </c>
    </row>
    <row r="290" spans="1:5" ht="57" x14ac:dyDescent="0.2">
      <c r="A290" s="57" t="s">
        <v>796</v>
      </c>
      <c r="B290" s="57" t="str">
        <f>VLOOKUP($A290,Questions!$A$3:$X$333,2,0)&amp;""</f>
        <v>Do you provide logging for your solution's AI feature(s) that includes user, date, and action taken?*</v>
      </c>
      <c r="C290" s="57" t="str">
        <f>VLOOKUP($A290,Questions!$A$3:$X$333,19,0)&amp;""</f>
        <v>This question helps institutions confirm whether AI features can be audited for user activity, data use, and system behavior. Audit logging supports regulatory compliance, incident response, and transparency in environments handling sensitive or regulated data.</v>
      </c>
      <c r="D290" s="57" t="str">
        <f>VLOOKUP($A290,Questions!$A$3:$X$333,20,0)&amp;""</f>
        <v>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v>
      </c>
      <c r="E290" s="241" t="s">
        <v>1454</v>
      </c>
    </row>
    <row r="291" spans="1:5" ht="57" x14ac:dyDescent="0.2">
      <c r="A291" s="57" t="s">
        <v>797</v>
      </c>
      <c r="B291" s="57" t="str">
        <f>VLOOKUP($A291,Questions!$A$3:$X$333,2,0)&amp;""</f>
        <v>Please describe how you validate user inputs.</v>
      </c>
      <c r="C291" s="57" t="str">
        <f>VLOOKUP($A291,Questions!$A$3:$X$333,19,0)&amp;""</f>
        <v>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v>
      </c>
      <c r="D291" s="57" t="str">
        <f>VLOOKUP($A291,Questions!$A$3:$X$333,20,0)&amp;""</f>
        <v>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v>
      </c>
    </row>
    <row r="292" spans="1:5" ht="71.25" x14ac:dyDescent="0.2">
      <c r="A292" s="57" t="s">
        <v>798</v>
      </c>
      <c r="B292" s="57" t="str">
        <f>VLOOKUP($A292,Questions!$A$3:$X$333,2,0)&amp;""</f>
        <v>Do you plan for and mitigate supply-chain risk related to your AI features?</v>
      </c>
      <c r="C292" s="57" t="str">
        <f>VLOOKUP($A292,Questions!$A$3:$X$333,19,0)&amp;""</f>
        <v>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v>
      </c>
      <c r="D292" s="57" t="str">
        <f>VLOOKUP($A292,Questions!$A$3:$X$333,20,0)&amp;""</f>
        <v>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v>
      </c>
    </row>
    <row r="293" spans="1:5" ht="36.75" customHeight="1" x14ac:dyDescent="0.2">
      <c r="A293" s="63" t="str">
        <f>VLOOKUP(LEFT($A294,4),'Auto Responses'!$N$4:$O$38,2,0)&amp;""</f>
        <v xml:space="preserve"> AI Machine Learning</v>
      </c>
      <c r="B293" s="63"/>
      <c r="C293" s="56" t="str">
        <f>Questions!$S$2</f>
        <v>Reason for Question</v>
      </c>
      <c r="D293" s="56" t="str">
        <f>Questions!$T$2</f>
        <v>Follow-Up Inquiries/Responses</v>
      </c>
    </row>
    <row r="294" spans="1:5" ht="99.75" x14ac:dyDescent="0.2">
      <c r="A294" s="57" t="s">
        <v>799</v>
      </c>
      <c r="B294" s="57" t="str">
        <f>VLOOKUP($A294,Questions!$A$3:$X$333,2,0)&amp;""</f>
        <v>Do you separate ML training data from your ML solution data?*</v>
      </c>
      <c r="C294" s="57" t="str">
        <f>VLOOKUP($A294,Questions!$A$3:$X$333,19,0)&amp;""</f>
        <v>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v>
      </c>
      <c r="D294" s="57" t="str">
        <f>VLOOKUP($A294,Questions!$A$3:$X$333,20,0)&amp;""</f>
        <v>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v>
      </c>
    </row>
    <row r="295" spans="1:5" ht="42.75" x14ac:dyDescent="0.2">
      <c r="A295" s="57" t="s">
        <v>800</v>
      </c>
      <c r="B295" s="57" t="str">
        <f>VLOOKUP($A295,Questions!$A$3:$X$333,2,0)&amp;""</f>
        <v>Do you authenticate and verify your ML model's feedback?*</v>
      </c>
      <c r="C295" s="57" t="str">
        <f>VLOOKUP($A295,Questions!$A$3:$X$333,19,0)&amp;""</f>
        <v>Verifying ML model feedback helps prevent skewing attacks that could distort predictions or reduce reliability.</v>
      </c>
      <c r="D295" s="57" t="str">
        <f>VLOOKUP($A295,Questions!$A$3:$X$333,20,0)&amp;""</f>
        <v>Understand whether any other controls or processes are in place that would mitigate the risk of the vendor not doing the authentication or verification. How does the vendor perform trigger-sweep evaluations?</v>
      </c>
    </row>
    <row r="296" spans="1:5" ht="28.5" x14ac:dyDescent="0.2">
      <c r="A296" s="57" t="s">
        <v>801</v>
      </c>
      <c r="B296" s="57" t="str">
        <f>VLOOKUP($A296,Questions!$A$3:$X$333,2,0)&amp;""</f>
        <v>Is your ML training data vetted, validated, and verified before training the solution's AI model?</v>
      </c>
      <c r="C296" s="57" t="str">
        <f>VLOOKUP($A296,Questions!$A$3:$X$333,19,0)&amp;""</f>
        <v>This process can reduce the risk of errors or bias, as well as poor data quality undermining the model's accuracy and integrity.</v>
      </c>
      <c r="D296" s="57" t="str">
        <f>VLOOKUP($A296,Questions!$A$3:$X$333,20,0)&amp;""</f>
        <v>What other controls are in place as a substitute to this process? If not all steps are complete, what part of the process is currently being done?</v>
      </c>
    </row>
    <row r="297" spans="1:5" ht="57" x14ac:dyDescent="0.2">
      <c r="A297" s="57" t="s">
        <v>803</v>
      </c>
      <c r="B297" s="57" t="str">
        <f>VLOOKUP($A297,Questions!$A$3:$X$333,2,0)&amp;""</f>
        <v>Is your ML training data monitored and audited?</v>
      </c>
      <c r="C297" s="57" t="str">
        <f>VLOOKUP($A297,Questions!$A$3:$X$333,19,0)&amp;""</f>
        <v>Training data can be targeted by attackers to influence the ML model’s behavior in harmful ways.</v>
      </c>
      <c r="D297" s="57" t="str">
        <f>VLOOKUP($A297,Questions!$A$3:$X$333,20,0)&amp;""</f>
        <v>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v>
      </c>
    </row>
    <row r="298" spans="1:5" ht="28.5" x14ac:dyDescent="0.2">
      <c r="A298" s="57" t="s">
        <v>805</v>
      </c>
      <c r="B298" s="57" t="str">
        <f>VLOOKUP($A298,Questions!$A$3:$X$333,2,0)&amp;""</f>
        <v>Have you limited access to your ML training data to only staff with an explicit business need?</v>
      </c>
      <c r="C298" s="57" t="str">
        <f>VLOOKUP($A298,Questions!$A$3:$X$333,19,0)&amp;""</f>
        <v>Training data can be targeted by attackers to influence the ML model’s behavior in harmful ways.</v>
      </c>
      <c r="D298" s="57" t="str">
        <f>VLOOKUP($A298,Questions!$A$3:$X$333,20,0)&amp;""</f>
        <v/>
      </c>
    </row>
    <row r="299" spans="1:5" ht="36" customHeight="1" x14ac:dyDescent="0.2">
      <c r="A299" s="57" t="s">
        <v>806</v>
      </c>
      <c r="B299" s="57" t="str">
        <f>VLOOKUP($A299,Questions!$A$3:$X$333,2,0)&amp;""</f>
        <v>Have you implemented adversarial training or other model defense mechanisms to protect your ML-related features?</v>
      </c>
      <c r="C299" s="57" t="str">
        <f>VLOOKUP($A299,Questions!$A$3:$X$333,19,0)&amp;""</f>
        <v>Adversarial training and defenses help keep models resilient against manipulation and evasion attacks.</v>
      </c>
      <c r="D299" s="57" t="str">
        <f>VLOOKUP($A299,Questions!$A$3:$X$333,20,0)&amp;""</f>
        <v>What adversarial training is performed on the ML? What defense mechanisms are incorporated into the ML? How is the input validated for the ML?</v>
      </c>
    </row>
    <row r="300" spans="1:5" ht="58.5" customHeight="1" x14ac:dyDescent="0.2">
      <c r="A300" s="57" t="s">
        <v>807</v>
      </c>
      <c r="B300" s="57" t="str">
        <f>VLOOKUP($A300,Questions!$A$3:$X$333,2,0)&amp;""</f>
        <v>Do you make your ML model transparent through documentation and log inputs and outputs?</v>
      </c>
      <c r="C300" s="57" t="str">
        <f>VLOOKUP($A300,Questions!$A$3:$X$333,19,0)&amp;""</f>
        <v>This process helps ensure accountability and detect misuse or anomalies.</v>
      </c>
      <c r="D300" s="57" t="str">
        <f>VLOOKUP($A300,Questions!$A$3:$X$333,20,0)&amp;""</f>
        <v>How long are input/output logs retained, and how is log data protected? How often are transparency and logging processes reviewed or updated? Do logs enable post-hoc trigger correlation?</v>
      </c>
    </row>
    <row r="301" spans="1:5" ht="48" customHeight="1" x14ac:dyDescent="0.2">
      <c r="A301" s="57" t="s">
        <v>809</v>
      </c>
      <c r="B301" s="57" t="str">
        <f>VLOOKUP($A301,Questions!$A$3:$X$333,2,0)&amp;""</f>
        <v>Do you watermark your ML training data?</v>
      </c>
      <c r="C301" s="57" t="str">
        <f>VLOOKUP($A301,Questions!$A$3:$X$333,19,0)&amp;""</f>
        <v>Watermarking training data supports traceability, making it easier to detect misuse and respond to incidents.</v>
      </c>
      <c r="D301" s="57" t="str">
        <f>VLOOKUP($A301,Questions!$A$3:$X$333,20,0)&amp;""</f>
        <v>Are all training datasets watermarked, or only specific subsets? Are there any policies, procedures, or controls in place that would serve as substitutes or compensating measures for this practice?</v>
      </c>
    </row>
    <row r="302" spans="1:5" ht="39" customHeight="1" x14ac:dyDescent="0.2">
      <c r="A302" s="63" t="str">
        <f>VLOOKUP(LEFT($A303,4),'Auto Responses'!$N$4:$O$38,2,0)&amp;""</f>
        <v xml:space="preserve"> AI Large Language Model (LLM)</v>
      </c>
      <c r="B302" s="63"/>
      <c r="C302" s="56" t="str">
        <f>Questions!$S$2</f>
        <v>Reason for Question</v>
      </c>
      <c r="D302" s="56" t="str">
        <f>Questions!$T$2</f>
        <v>Follow-Up Inquiries/Responses</v>
      </c>
    </row>
    <row r="303" spans="1:5" ht="40.5" customHeight="1" x14ac:dyDescent="0.2">
      <c r="A303" s="57" t="s">
        <v>810</v>
      </c>
      <c r="B303" s="57" t="str">
        <f>VLOOKUP($A303,Questions!$A$3:$X$333,2,0)&amp;""</f>
        <v>Do you limit your solution's LLM privileges by default?*</v>
      </c>
      <c r="C303" s="57" t="str">
        <f>VLOOKUP($A303,Questions!$A$3:$X$333,19,0)&amp;""</f>
        <v>This question addresses misuse, exfiltration/change risk, and over-privileged behavior. It supports accountable operations and auditability.</v>
      </c>
      <c r="D303" s="57" t="str">
        <f>VLOOKUP($A303,Questions!$A$3:$X$333,20,0)&amp;""</f>
        <v>Is the LLM's API token unique? How do you segregate external content from user prompts? Do you manually monitor LLM input and output periodically?</v>
      </c>
    </row>
    <row r="304" spans="1:5" ht="54" customHeight="1" x14ac:dyDescent="0.2">
      <c r="A304" s="57" t="s">
        <v>811</v>
      </c>
      <c r="B304" s="57" t="str">
        <f>VLOOKUP($A304,Questions!$A$3:$X$333,2,0)&amp;""</f>
        <v>Is your LLM training data vetted, validated, and verified before training the solution's AI model?*</v>
      </c>
      <c r="C304" s="57" t="str">
        <f>VLOOKUP($A304,Questions!$A$3:$X$333,19,0)&amp;""</f>
        <v>Assures lawful, ethical, and auditable data use while reducing IP and privacy risk. This is key to trustworthy AI and effective audits.</v>
      </c>
      <c r="D304" s="57" t="str">
        <f>VLOOKUP($A304,Questions!$A$3:$X$333,20,0)&amp;""</f>
        <v>Request a dataset register with provenance records, license documentation, and change-control history. Request sample outputs of PII scrubbing/anonymization processes, results of bias/safety evaluations, and records of dataset refresh or retirement events.</v>
      </c>
      <c r="E304" s="241" t="s">
        <v>1454</v>
      </c>
    </row>
    <row r="305" spans="1:5" ht="63.75" customHeight="1" x14ac:dyDescent="0.2">
      <c r="A305" s="57" t="s">
        <v>812</v>
      </c>
      <c r="B305" s="57" t="str">
        <f>VLOOKUP($A305,Questions!$A$3:$X$333,2,0)&amp;""</f>
        <v>Do any actions taken by your solution's LLM features or plugins require human intervention?*</v>
      </c>
      <c r="C305" s="57" t="str">
        <f>VLOOKUP($A305,Questions!$A$3:$X$333,19,0)&amp;""</f>
        <v>Prevents autonomous risky actions or misconfigurations and enforces accountability. This limits excessive agency.</v>
      </c>
      <c r="D305" s="57" t="str">
        <f>VLOOKUP($A305,Questions!$A$3:$X$333,20,0)&amp;""</f>
        <v>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v>
      </c>
    </row>
    <row r="306" spans="1:5" ht="52.5" customHeight="1" x14ac:dyDescent="0.2">
      <c r="A306" s="57" t="s">
        <v>813</v>
      </c>
      <c r="B306" s="57" t="str">
        <f>VLOOKUP($A306,Questions!$A$3:$X$333,2,0)&amp;""</f>
        <v>Do you limit multiple LLM model plugins being called as part of a single input?*</v>
      </c>
      <c r="C306" s="57" t="str">
        <f>VLOOKUP($A306,Questions!$A$3:$X$333,19,0)&amp;""</f>
        <v>Reduces supply-chain and prompt-injection risk, controls attack surface, and clarifies accountability. Aligns with governance expectations.</v>
      </c>
      <c r="D306" s="57" t="str">
        <f>VLOOKUP($A306,Questions!$A$3:$X$333,20,0)&amp;""</f>
        <v>Request a list of all plugins/tools callable by the LLM and the allow-listing criteria/review cadence. Ask for the validation approach, sandbox/egress rules, and test evidence.</v>
      </c>
    </row>
    <row r="307" spans="1:5" ht="78" customHeight="1" x14ac:dyDescent="0.2">
      <c r="A307" s="57" t="s">
        <v>814</v>
      </c>
      <c r="B307" s="57" t="str">
        <f>VLOOKUP($A307,Questions!$A$3:$X$333,2,0)&amp;""</f>
        <v>Do you limit your solution's LLM resource use per request, per step, and per action?</v>
      </c>
      <c r="C307" s="57" t="str">
        <f>VLOOKUP($A307,Questions!$A$3:$X$333,19,0)&amp;""</f>
        <v>Prevents denial-of-service and cost overruns from excessive or malicious consumption. Demonstrates managed, measurable operations.</v>
      </c>
      <c r="D307" s="57" t="str">
        <f>VLOOKUP($A307,Questions!$A$3:$X$333,20,0)&amp;""</f>
        <v>Request current default versus maximum token/CPU/memory quotas per tenant, monitoring dashboards of usage, and alerts or incidents where throttling was triggered. Ask about runbooks for resource spikes, evidence of recent resource reviews, and escalation paths.</v>
      </c>
    </row>
    <row r="308" spans="1:5" ht="62.25" customHeight="1" x14ac:dyDescent="0.2">
      <c r="A308" s="57" t="s">
        <v>815</v>
      </c>
      <c r="B308" s="57" t="str">
        <f>VLOOKUP($A308,Questions!$A$3:$X$333,2,0)&amp;""</f>
        <v>Do you leverage LLM model tuning or other model validation mechanisms?</v>
      </c>
      <c r="C308" s="57" t="str">
        <f>VLOOKUP($A308,Questions!$A$3:$X$333,19,0)&amp;""</f>
        <v>Mitigates hallucinations and ensures decisions rely on verifiable information. Supports trustworthy outcomes and reduces downstream misuse.</v>
      </c>
      <c r="D308" s="57" t="str">
        <f>VLOOKUP($A308,Questions!$A$3:$X$333,20,0)&amp;""</f>
        <v>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v>
      </c>
    </row>
    <row r="309" spans="1:5" ht="41.25" customHeight="1" x14ac:dyDescent="0.2">
      <c r="A309" s="57" t="s">
        <v>759</v>
      </c>
      <c r="B309" s="57" t="str">
        <f>VLOOKUP($A309,Questions!$A$3:$X$333,2,0)&amp;""</f>
        <v>Will data be collected from or processed in or stored in China?</v>
      </c>
      <c r="C309" s="57" t="str">
        <f>VLOOKUP($A309,Questions!$A$3:$X$333,19,0)&amp;""</f>
        <v>Understanding whether the vendor processes data in China may help with institutional PIPL compliance.</v>
      </c>
      <c r="D309" s="57" t="str">
        <f>VLOOKUP($A309,Questions!$A$3:$X$333,20,0)&amp;""</f>
        <v>If institution's intended use includes targeting of data subjects in China and if vendor marks "no," institution might want to follow up to clarify data collected.</v>
      </c>
    </row>
    <row r="310" spans="1:5" ht="34.5" customHeight="1" x14ac:dyDescent="0.2">
      <c r="A310" s="57" t="s">
        <v>762</v>
      </c>
      <c r="B310" s="57" t="str">
        <f>VLOOKUP($A310,Questions!$A$3:$X$333,2,0)&amp;""</f>
        <v>Do you comply with PIPL security, privacy, and data localization requirements?</v>
      </c>
      <c r="C310" s="57" t="str">
        <f>VLOOKUP($A310,Questions!$A$3:$X$333,19,0)&amp;""</f>
        <v>Vendors targeting services in China should have the ability to comply with PIPL requirements.</v>
      </c>
      <c r="D310" s="57" t="str">
        <f>VLOOKUP($A310,Questions!$A$3:$X$333,20,0)&amp;""</f>
        <v/>
      </c>
      <c r="E310" s="241" t="s">
        <v>1454</v>
      </c>
    </row>
    <row r="311" spans="1:5" ht="18" x14ac:dyDescent="0.2">
      <c r="A311" s="63" t="str">
        <f>VLOOKUP(LEFT($A312,4),'Auto Responses'!$N$4:$O$38,2,0)&amp;""</f>
        <v xml:space="preserve"> General Privacy</v>
      </c>
      <c r="B311" s="63"/>
      <c r="C311" s="56" t="str">
        <f>Questions!$S$2</f>
        <v>Reason for Question</v>
      </c>
      <c r="D311" s="56" t="str">
        <f>Questions!$T$2</f>
        <v>Follow-Up Inquiries/Responses</v>
      </c>
    </row>
    <row r="312" spans="1:5" ht="28.5" x14ac:dyDescent="0.2">
      <c r="A312" s="57" t="s">
        <v>857</v>
      </c>
      <c r="B312" s="57" t="str">
        <f>VLOOKUP($A312,Questions!$A$3:$X$333,2,0)&amp;""</f>
        <v>Does your solution process FERPA-related data?</v>
      </c>
      <c r="C312" s="57" t="str">
        <f>VLOOKUP($A312,Questions!$A$3:$X$333,19,0)&amp;""</f>
        <v>This question will help the institution gain an understanding of the types of data processed by this product or service.</v>
      </c>
      <c r="D312" s="57" t="str">
        <f>VLOOKUP($A312,Questions!$A$3:$X$333,20,0)&amp;""</f>
        <v>Will data be re-disclosed and/or used for any purpose other than directly providing the service, including quality assurance or marketing?</v>
      </c>
    </row>
    <row r="313" spans="1:5" ht="28.5" x14ac:dyDescent="0.2">
      <c r="A313" s="57" t="s">
        <v>858</v>
      </c>
      <c r="B313" s="57" t="str">
        <f>VLOOKUP($A313,Questions!$A$3:$X$333,2,0)&amp;""</f>
        <v>Does your solution process GDPR-related or PIPL-related data?</v>
      </c>
      <c r="C313" s="57" t="str">
        <f>VLOOKUP($A313,Questions!$A$3:$X$333,19,0)&amp;""</f>
        <v>This question will help the institution gain an understanding of the types of data processed by this product or service.</v>
      </c>
      <c r="D313" s="57" t="str">
        <f>VLOOKUP($A313,Questions!$A$3:$X$333,20,0)&amp;""</f>
        <v/>
      </c>
    </row>
    <row r="314" spans="1:5" ht="28.5" x14ac:dyDescent="0.2">
      <c r="A314" s="57" t="s">
        <v>859</v>
      </c>
      <c r="B314" s="57" t="str">
        <f>VLOOKUP($A314,Questions!$A$3:$X$333,2,0)&amp;""</f>
        <v>Does your solution process personal data regulated by state law(s) (e.g., CCPA)?</v>
      </c>
      <c r="C314" s="57" t="str">
        <f>VLOOKUP($A314,Questions!$A$3:$X$333,19,0)&amp;""</f>
        <v>This question will help the institution gain an understanding of the types of data processed by this product or service.</v>
      </c>
      <c r="D314" s="57" t="str">
        <f>VLOOKUP($A314,Questions!$A$3:$X$333,20,0)&amp;""</f>
        <v/>
      </c>
    </row>
    <row r="315" spans="1:5" ht="28.5" x14ac:dyDescent="0.2">
      <c r="A315" s="57" t="s">
        <v>860</v>
      </c>
      <c r="B315" s="57" t="str">
        <f>VLOOKUP($A315,Questions!$A$3:$X$333,2,0)&amp;""</f>
        <v>Does your solution process user-provided data that may contain regulated information?</v>
      </c>
      <c r="C315" s="57" t="str">
        <f>VLOOKUP($A315,Questions!$A$3:$X$333,19,0)&amp;""</f>
        <v>This question will help the institution gain an understanding of the types of data processed by this product or service.</v>
      </c>
      <c r="D315" s="57" t="str">
        <f>VLOOKUP($A315,Questions!$A$3:$X$333,20,0)&amp;""</f>
        <v/>
      </c>
    </row>
    <row r="316" spans="1:5" ht="43.5" customHeight="1" x14ac:dyDescent="0.2">
      <c r="A316" s="57" t="s">
        <v>861</v>
      </c>
      <c r="B316" s="57" t="str">
        <f>VLOOKUP($A316,Questions!$A$3:$X$333,2,0)&amp;""</f>
        <v>Web Link to Product/Service Privacy Notice</v>
      </c>
      <c r="C316" s="57" t="str">
        <f>VLOOKUP($A316,Questions!$A$3:$X$333,19,0)&amp;""</f>
        <v>To ensure transparency and verify the vendor provides accessible privacy documentation that institutions can review and share with stakeholders.</v>
      </c>
      <c r="D316" s="57" t="str">
        <f>VLOOKUP($A316,Questions!$A$3:$X$333,20,0)&amp;""</f>
        <v>Please provide the direct URL to your privacy policy and confirm how frequently it is reviewed and updated.</v>
      </c>
    </row>
    <row r="317" spans="1:5" ht="18" x14ac:dyDescent="0.2">
      <c r="A317" s="63" t="str">
        <f>VLOOKUP(LEFT($A318,4),'Auto Responses'!$N$4:$O$38,2,0)&amp;""</f>
        <v xml:space="preserve"> Privacy-Specific Company Details</v>
      </c>
      <c r="B317" s="63"/>
      <c r="C317" s="56" t="str">
        <f>Questions!$S$2</f>
        <v>Reason for Question</v>
      </c>
      <c r="D317" s="56" t="str">
        <f>Questions!$T$2</f>
        <v>Follow-Up Inquiries/Responses</v>
      </c>
    </row>
    <row r="318" spans="1:5" ht="58.5" customHeight="1" x14ac:dyDescent="0.2">
      <c r="A318" s="57" t="s">
        <v>697</v>
      </c>
      <c r="B318" s="57" t="str">
        <f>VLOOKUP($A318,Questions!$A$3:$X$333,2,0)&amp;""</f>
        <v>Have you had a personal data breach in the past three years that involved reporting to a governmental agency, notice to individuals (including voluntary notice), or notice to another organization or institution?*</v>
      </c>
      <c r="C318" s="57" t="str">
        <f>VLOOKUP($A318,Questions!$A$3:$X$333,19,0)&amp;""</f>
        <v>Having a previous data breach can indicate a level of risk that will indicate that the institution should further investigate changes made after the breach.</v>
      </c>
      <c r="D318" s="57" t="str">
        <f>VLOOKUP($A318,Questions!$A$3:$X$333,20,0)&amp;""</f>
        <v/>
      </c>
    </row>
    <row r="319" spans="1:5" ht="39.75" customHeight="1" x14ac:dyDescent="0.2">
      <c r="A319" s="57" t="s">
        <v>699</v>
      </c>
      <c r="B319" s="57" t="str">
        <f>VLOOKUP($A319,Questions!$A$3:$X$333,2,0)&amp;""</f>
        <v>Use this area to share information about your privacy practices that will assist those who are assessing your company data privacy program.*</v>
      </c>
      <c r="C319" s="57" t="str">
        <f>VLOOKUP($A319,Questions!$A$3:$X$333,19,0)&amp;""</f>
        <v>To gather voluntary disclosures that provide additional context beyond required responses, helping assessors understand the vendor's privacy culture and proactive commitment to data protection.</v>
      </c>
      <c r="D319" s="57" t="str">
        <f>VLOOKUP($A319,Questions!$A$3:$X$333,20,0)&amp;""</f>
        <v/>
      </c>
    </row>
    <row r="320" spans="1:5" ht="36.75" customHeight="1" x14ac:dyDescent="0.2">
      <c r="A320" s="57" t="s">
        <v>700</v>
      </c>
      <c r="B320" s="57" t="str">
        <f>VLOOKUP($A320,Questions!$A$3:$X$333,2,0)&amp;""</f>
        <v>Have you had any violations of your internal privacy policies or violations of applicable privacy law in the past 36 months?</v>
      </c>
      <c r="C320" s="57" t="str">
        <f>VLOOKUP($A320,Questions!$A$3:$X$333,19,0)&amp;""</f>
        <v>This question solicits information about internal privacy policy violations and/or violations of applicable privacy law in the past three years.</v>
      </c>
      <c r="D320" s="57" t="str">
        <f>VLOOKUP($A320,Questions!$A$3:$X$333,20,0)&amp;""</f>
        <v/>
      </c>
    </row>
    <row r="321" spans="1:5" ht="40.5" customHeight="1" x14ac:dyDescent="0.2">
      <c r="A321" s="57" t="s">
        <v>701</v>
      </c>
      <c r="B321" s="57" t="str">
        <f>VLOOKUP($A321,Questions!$A$3:$X$333,2,0)&amp;""</f>
        <v>Do you have a dedicated data privacy staff or office?</v>
      </c>
      <c r="C321" s="57" t="str">
        <f>VLOOKUP($A321,Questions!$A$3:$X$333,19,0)&amp;""</f>
        <v>Any solution provider processing protected student data should have resources/staff dedicated to the protection of the data.</v>
      </c>
      <c r="D321" s="57" t="str">
        <f>VLOOKUP($A321,Questions!$A$3:$X$333,20,0)&amp;""</f>
        <v/>
      </c>
    </row>
    <row r="322" spans="1:5" ht="35.25" customHeight="1" x14ac:dyDescent="0.2">
      <c r="A322" s="63" t="str">
        <f>VLOOKUP(LEFT($A323,4),'Auto Responses'!$N$4:$O$38,2,0)&amp;""</f>
        <v xml:space="preserve"> Privacy-Specific Documentation</v>
      </c>
      <c r="B322" s="63"/>
      <c r="C322" s="56" t="str">
        <f>Questions!$S$2</f>
        <v>Reason for Question</v>
      </c>
      <c r="D322" s="56" t="str">
        <f>Questions!$T$2</f>
        <v>Follow-Up Inquiries/Responses</v>
      </c>
    </row>
    <row r="323" spans="1:5" ht="33.75" customHeight="1" x14ac:dyDescent="0.2">
      <c r="A323" s="57" t="s">
        <v>702</v>
      </c>
      <c r="B323" s="57" t="str">
        <f>VLOOKUP($A323,Questions!$A$3:$X$333,2,0)&amp;""</f>
        <v>If you have completed a SOC 2 audit, does it include the Privacy Trust Service Principle?</v>
      </c>
      <c r="C323" s="57" t="str">
        <f>VLOOKUP($A323,Questions!$A$3:$X$333,19,0)&amp;""</f>
        <v>This is specifically asking for the Privacy Trust Service Principle, which is not always included in a SOC 2 audit.</v>
      </c>
      <c r="D323" s="57" t="str">
        <f>VLOOKUP($A323,Questions!$A$3:$X$333,20,0)&amp;""</f>
        <v/>
      </c>
    </row>
    <row r="324" spans="1:5" ht="78" customHeight="1" x14ac:dyDescent="0.2">
      <c r="A324" s="57" t="s">
        <v>703</v>
      </c>
      <c r="B324" s="57" t="str">
        <f>VLOOKUP($A324,Questions!$A$3:$X$333,2,0)&amp;""</f>
        <v>Do you conform with a specific industry-standard privacy framework (e.g., NIST Privacy Framework, GDPR, ISO 27701)?</v>
      </c>
      <c r="C324" s="57" t="str">
        <f>VLOOKUP($A324,Questions!$A$3:$X$333,19,0)&amp;""</f>
        <v>Conformance with industry privacy frameworks can demonstrate an organization's privacy posture and can provide clients a sense of comfort as to the organization's commitment to protection of personal data.</v>
      </c>
      <c r="D324" s="57" t="str">
        <f>VLOOKUP($A324,Questions!$A$3:$X$333,20,0)&amp;""</f>
        <v>If the organization relies on more than one framework or only on portions of a framework, has this been mapped to the Security Controls Framework? If so, please provide a copy of the mapping used.</v>
      </c>
    </row>
    <row r="325" spans="1:5" ht="98.25" customHeight="1" x14ac:dyDescent="0.2">
      <c r="A325" s="57" t="s">
        <v>704</v>
      </c>
      <c r="B325" s="57" t="str">
        <f>VLOOKUP($A325,Questions!$A$3:$X$333,2,0)&amp;""</f>
        <v>Does your employee onboarding and offboarding policy include training of employees on information security and data privacy?</v>
      </c>
      <c r="C325" s="57" t="str">
        <f>VLOOKUP($A325,Questions!$A$3:$X$333,19,0)&amp;""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v>
      </c>
      <c r="D325" s="57" t="str">
        <f>VLOOKUP($A325,Questions!$A$3:$X$333,20,0)&amp;""</f>
        <v>If training is provided to specific employee groups only, please provide information as to which groups and an overview of the training for each group.</v>
      </c>
    </row>
    <row r="326" spans="1:5" ht="21" customHeight="1" x14ac:dyDescent="0.2">
      <c r="A326" s="63" t="str">
        <f>VLOOKUP(LEFT($A327,4),'Auto Responses'!$N$4:$O$38,2,0)&amp;""</f>
        <v xml:space="preserve"> Privacy of Third Parties</v>
      </c>
      <c r="B326" s="63"/>
      <c r="C326" s="56" t="str">
        <f>Questions!$S$2</f>
        <v>Reason for Question</v>
      </c>
      <c r="D326" s="56" t="str">
        <f>Questions!$T$2</f>
        <v>Follow-Up Inquiries/Responses</v>
      </c>
      <c r="E326" s="241" t="s">
        <v>1454</v>
      </c>
    </row>
    <row r="327" spans="1:5" ht="57" x14ac:dyDescent="0.2">
      <c r="A327" s="57" t="s">
        <v>706</v>
      </c>
      <c r="B327" s="57" t="str">
        <f>VLOOKUP($A327,Questions!$A$3:$X$333,2,0)&amp;""</f>
        <v>Do you have contractual agreements with third parties that require them to maintain standards and to comply with all regulatory requirements?*</v>
      </c>
      <c r="C327" s="57" t="str">
        <f>VLOOKUP($A327,Questions!$A$3:$X$333,19,0)&amp;""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327" s="57" t="str">
        <f>VLOOKUP($A327,Questions!$A$3:$X$333,20,0)&amp;""</f>
        <v/>
      </c>
    </row>
    <row r="328" spans="1:5" ht="129.75" customHeight="1" x14ac:dyDescent="0.2">
      <c r="A328" s="57" t="s">
        <v>708</v>
      </c>
      <c r="B328" s="57" t="str">
        <f>VLOOKUP($A328,Questions!$A$3:$X$333,2,0)&amp;""</f>
        <v>Do you perform privacy impact assessments of third parties that collect, process, or have access to personal data to ensure they meet industry and regulatory standards and to mitigate harmful, unethical, or discriminatory impacts on data subjects?</v>
      </c>
      <c r="C328" s="57" t="str">
        <f>VLOOKUP($A328,Questions!$A$3:$X$333,19,0)&amp;""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328" s="57" t="str">
        <f>VLOOKUP($A328,Questions!$A$3:$X$333,20,0)&amp;""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row>
    <row r="329" spans="1:5" ht="18" x14ac:dyDescent="0.2">
      <c r="A329" s="63" t="str">
        <f>VLOOKUP(LEFT($A330,4),'Auto Responses'!$N$4:$O$38,2,0)&amp;""</f>
        <v xml:space="preserve"> Privacy Change Management</v>
      </c>
      <c r="B329" s="63"/>
      <c r="C329" s="56" t="str">
        <f>Questions!$S$2</f>
        <v>Reason for Question</v>
      </c>
      <c r="D329" s="56" t="str">
        <f>Questions!$T$2</f>
        <v>Follow-Up Inquiries/Responses</v>
      </c>
    </row>
    <row r="330" spans="1:5" ht="42.95" customHeight="1" x14ac:dyDescent="0.2">
      <c r="A330" s="57" t="s">
        <v>709</v>
      </c>
      <c r="B330" s="57" t="str">
        <f>VLOOKUP($A330,Questions!$A$3:$X$333,2,0)&amp;""</f>
        <v>Does your change management process include privacy review and approval?</v>
      </c>
      <c r="C330" s="57" t="str">
        <f>VLOOKUP($A330,Questions!$A$3:$X$333,19,0)&amp;""</f>
        <v>It is important that change management not overlook any privacy considerations.</v>
      </c>
      <c r="D330" s="57" t="str">
        <f>VLOOKUP($A330,Questions!$A$3:$X$333,20,0)&amp;""</f>
        <v>If the answer is yes, describe the process; if the answer is no, describe plans to implement.</v>
      </c>
    </row>
    <row r="331" spans="1:5" ht="42.95" customHeight="1" x14ac:dyDescent="0.2">
      <c r="A331" s="57" t="s">
        <v>711</v>
      </c>
      <c r="B331" s="57" t="str">
        <f>VLOOKUP($A331,Questions!$A$3:$X$333,2,0)&amp;""</f>
        <v>Do you have policy and procedure, currently implemented, guiding how privacy risks are mitigated until they can be resolved?</v>
      </c>
      <c r="C331" s="57" t="str">
        <f>VLOOKUP($A331,Questions!$A$3:$X$333,19,0)&amp;""</f>
        <v>It is important to have a procedure in place to mitigate privacy risks as they come up.</v>
      </c>
      <c r="D331" s="57" t="str">
        <f>VLOOKUP($A331,Questions!$A$3:$X$333,20,0)&amp;""</f>
        <v>If the answer is yes, describe the process; if the answer is no, describe plans to implement.</v>
      </c>
    </row>
    <row r="332" spans="1:5" ht="18" x14ac:dyDescent="0.2">
      <c r="A332" s="63" t="str">
        <f>VLOOKUP(LEFT($A333,4),'Auto Responses'!$N$4:$O$38,2,0)&amp;""</f>
        <v xml:space="preserve"> Privacy of Sensitive Data</v>
      </c>
      <c r="B332" s="63"/>
      <c r="C332" s="56" t="str">
        <f>Questions!$S$2</f>
        <v>Reason for Question</v>
      </c>
      <c r="D332" s="56" t="str">
        <f>Questions!$T$2</f>
        <v>Follow-Up Inquiries/Responses</v>
      </c>
    </row>
    <row r="333" spans="1:5" ht="42.95" customHeight="1" x14ac:dyDescent="0.2">
      <c r="A333" s="57" t="s">
        <v>713</v>
      </c>
      <c r="B333" s="57" t="str">
        <f>VLOOKUP($A333,Questions!$A$3:$X$333,2,0)&amp;""</f>
        <v>Do you collect, process, or store demographic information?*</v>
      </c>
      <c r="C333" s="57" t="str">
        <f>VLOOKUP($A333,Questions!$A$3:$X$333,19,0)&amp;""</f>
        <v>This data can be included in data sets that are deidentified but is sensitive data that could be reidentified if paired with other data points.</v>
      </c>
      <c r="D333" s="57" t="str">
        <f>VLOOKUP($A333,Questions!$A$3:$X$333,20,0)&amp;""</f>
        <v>Because of the nature of such data, it is important to have a full understanding of how the data is used and protected.</v>
      </c>
    </row>
    <row r="334" spans="1:5" ht="42.95" customHeight="1" x14ac:dyDescent="0.2">
      <c r="A334" s="57" t="s">
        <v>715</v>
      </c>
      <c r="B334" s="57" t="str">
        <f>VLOOKUP($A334,Questions!$A$3:$X$333,2,0)&amp;""</f>
        <v>Do you capture or create genetic, biometric, or behaviometric information (e.g., facial recognition or fingerprints)?*</v>
      </c>
      <c r="C334" s="57" t="str">
        <f>VLOOKUP($A334,Questions!$A$3:$X$333,19,0)&amp;""</f>
        <v>This data can be included in data sets that are deidentified but is sensitive data that could be reidentified if paired with other data points.</v>
      </c>
      <c r="D334" s="57" t="str">
        <f>VLOOKUP($A334,Questions!$A$3:$X$333,20,0)&amp;""</f>
        <v>Because of the nature of such data, it is important to have a full understanding of how the data is used and protected.</v>
      </c>
    </row>
    <row r="335" spans="1:5" ht="42.95" customHeight="1" x14ac:dyDescent="0.2">
      <c r="A335" s="57" t="s">
        <v>717</v>
      </c>
      <c r="B335" s="57" t="str">
        <f>VLOOKUP($A335,Questions!$A$3:$X$333,2,0)&amp;""</f>
        <v>Do you combine institutional data (including "de-identified," "anonymized," or otherwise masked data) with personal data from any other sources?*</v>
      </c>
      <c r="C335" s="57" t="str">
        <f>VLOOKUP($A335,Questions!$A$3:$X$333,19,0)&amp;""</f>
        <v>To identify potential re-identification risks and ensure the vendor doesn't merge institutional data with external datasets in ways that could compromise privacy protections or violate data use restrictions.</v>
      </c>
      <c r="D335" s="57" t="str">
        <f>VLOOKUP($A335,Questions!$A$3:$X$333,20,0)&amp;""</f>
        <v>If yes, describe what types of external data sources are combined with institutional data and for what purposes.</v>
      </c>
    </row>
    <row r="336" spans="1:5" ht="42.95" customHeight="1" x14ac:dyDescent="0.2">
      <c r="A336" s="57" t="s">
        <v>718</v>
      </c>
      <c r="B336" s="57" t="str">
        <f>VLOOKUP($A336,Questions!$A$3:$X$333,2,0)&amp;""</f>
        <v>Is institutional data coming into or going out of the United States at any point during collection, processing, storage, or archiving?</v>
      </c>
      <c r="C336" s="57" t="str">
        <f>VLOOKUP($A336,Questions!$A$3:$X$333,19,0)&amp;""</f>
        <v>To assess cross-border data transfer risks and ensure compliance with international privacy regulations including GDPR, data localization requirements, and data sovereignty considerations.</v>
      </c>
      <c r="D336" s="57" t="str">
        <f>VLOOKUP($A336,Questions!$A$3:$X$333,20,0)&amp;""</f>
        <v>If yes, identify which countries data flows to/from and what safeguards are in place (e.g., Standard Contractual Clauses, adequacy decisions).</v>
      </c>
    </row>
    <row r="337" spans="1:5" ht="42.95" customHeight="1" x14ac:dyDescent="0.2">
      <c r="A337" s="57" t="s">
        <v>719</v>
      </c>
      <c r="B337" s="57" t="str">
        <f>VLOOKUP($A337,Questions!$A$3:$X$333,2,0)&amp;""</f>
        <v>Do you capture device information (e.g., IP address, MAC address)?</v>
      </c>
      <c r="C337" s="57" t="str">
        <f>VLOOKUP($A337,Questions!$A$3:$X$333,19,0)&amp;""</f>
        <v>This question can clarify whether there are any indirect identifiers that don't appear to be readily identifiable but that could be identifiable in the event of unauthorized access or use.</v>
      </c>
      <c r="D337" s="57" t="str">
        <f>VLOOKUP($A337,Questions!$A$3:$X$333,20,0)&amp;""</f>
        <v/>
      </c>
    </row>
    <row r="338" spans="1:5" ht="42.95" customHeight="1" x14ac:dyDescent="0.2">
      <c r="A338" s="57" t="s">
        <v>720</v>
      </c>
      <c r="B338" s="57" t="str">
        <f>VLOOKUP($A338,Questions!$A$3:$X$333,2,0)&amp;""</f>
        <v>Does any part of this service/project involve a web/app tracking component (e.g., use of web-tracking pixels, cookies)?</v>
      </c>
      <c r="C338" s="57" t="str">
        <f>VLOOKUP($A338,Questions!$A$3:$X$333,19,0)&amp;""</f>
        <v>Web tracking can be used to identify users via their IP address, login information, browser information, etc.</v>
      </c>
      <c r="D338" s="57" t="str">
        <f>VLOOKUP($A338,Questions!$A$3:$X$333,20,0)&amp;""</f>
        <v/>
      </c>
      <c r="E338" s="241" t="s">
        <v>1454</v>
      </c>
    </row>
    <row r="339" spans="1:5" ht="42.95" customHeight="1" x14ac:dyDescent="0.2">
      <c r="A339" s="57" t="s">
        <v>721</v>
      </c>
      <c r="B339" s="57" t="str">
        <f>VLOOKUP($A339,Questions!$A$3:$X$333,2,0)&amp;""</f>
        <v>Does your staff (or a third party) have access to institutional data (e.g., financial, PHI, or other sensitive information) through any means?</v>
      </c>
      <c r="C339" s="57" t="str">
        <f>VLOOKUP($A339,Questions!$A$3:$X$333,19,0)&amp;""</f>
        <v>Institutional data may be sensitive in nature and should only be accessed for legitimate business purposes.</v>
      </c>
      <c r="D339" s="57" t="str">
        <f>VLOOKUP($A339,Questions!$A$3:$X$333,20,0)&amp;""</f>
        <v/>
      </c>
    </row>
    <row r="340" spans="1:5" ht="42.95" customHeight="1" x14ac:dyDescent="0.2">
      <c r="A340" s="57" t="s">
        <v>723</v>
      </c>
      <c r="B340" s="57" t="str">
        <f>VLOOKUP($A340,Questions!$A$3:$X$333,2,0)&amp;""</f>
        <v>Will you handle personal data in a manner compliant with all relevant laws, regulations, and applicable institution policies?</v>
      </c>
      <c r="C340" s="57" t="str">
        <f>VLOOKUP($A340,Questions!$A$3:$X$333,19,0)&amp;""</f>
        <v>Personal data that is handled improperly or against law/regulation can have significant negative impact.</v>
      </c>
      <c r="D340" s="57" t="str">
        <f>VLOOKUP($A340,Questions!$A$3:$X$333,20,0)&amp;""</f>
        <v/>
      </c>
    </row>
    <row r="341" spans="1:5" ht="42.95" customHeight="1" x14ac:dyDescent="0.2">
      <c r="A341" s="63" t="str">
        <f>VLOOKUP(LEFT($A342,4),'Auto Responses'!$N$4:$O$38,2,0)&amp;""</f>
        <v xml:space="preserve"> Privacy Policies and Procedures</v>
      </c>
      <c r="B341" s="63"/>
      <c r="C341" s="56" t="str">
        <f>Questions!$S$2</f>
        <v>Reason for Question</v>
      </c>
      <c r="D341" s="56" t="str">
        <f>Questions!$T$2</f>
        <v>Follow-Up Inquiries/Responses</v>
      </c>
    </row>
    <row r="342" spans="1:5" ht="42.95" customHeight="1" x14ac:dyDescent="0.2">
      <c r="A342" s="57" t="s">
        <v>724</v>
      </c>
      <c r="B342" s="57" t="str">
        <f>VLOOKUP($A342,Questions!$A$3:$X$333,2,0)&amp;""</f>
        <v>Do you have a documented privacy management process?</v>
      </c>
      <c r="C342" s="57" t="str">
        <f>VLOOKUP($A342,Questions!$A$3:$X$333,19,0)&amp;""</f>
        <v>It's important for customers to know their data will remain private after being shared with the vendor.</v>
      </c>
      <c r="D342" s="57" t="str">
        <f>VLOOKUP($A342,Questions!$A$3:$X$333,20,0)&amp;""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343" spans="1:5" ht="42.95" customHeight="1" x14ac:dyDescent="0.2">
      <c r="A343" s="57" t="s">
        <v>727</v>
      </c>
      <c r="B343" s="57" t="str">
        <f>VLOOKUP($A343,Questions!$A$3:$X$333,2,0)&amp;""</f>
        <v>Are privacy principles designed into the product lifecycle (i.e., privacy-by-design)?</v>
      </c>
      <c r="C343" s="57" t="str">
        <f>VLOOKUP($A343,Questions!$A$3:$X$333,19,0)&amp;""</f>
        <v>Building privacy principles into the product lifecycle (e.g., privacy-by-design) can help ease the privacy management process.</v>
      </c>
      <c r="D343" s="57" t="str">
        <f>VLOOKUP($A343,Questions!$A$3:$X$333,20,0)&amp;""</f>
        <v/>
      </c>
    </row>
    <row r="344" spans="1:5" ht="42.95" customHeight="1" x14ac:dyDescent="0.2">
      <c r="A344" s="57" t="s">
        <v>730</v>
      </c>
      <c r="B344" s="57" t="str">
        <f>VLOOKUP($A344,Questions!$A$3:$X$333,2,0)&amp;""</f>
        <v>Will you comply with applicable breach notification laws?</v>
      </c>
      <c r="C344" s="57" t="str">
        <f>VLOOKUP($A344,Questions!$A$3:$X$333,19,0)&amp;""</f>
        <v>It's very important to get out in front of the impact from a system breach. Once a breach has been confirmed, timely communication is imperative.</v>
      </c>
      <c r="D344" s="57" t="str">
        <f>VLOOKUP($A344,Questions!$A$3:$X$333,20,0)&amp;""</f>
        <v>This is usually dictated by the government agency for the geographic region and, possibly, by your cybersecurity insurance carrier.</v>
      </c>
      <c r="E344" s="241" t="s">
        <v>1454</v>
      </c>
    </row>
    <row r="345" spans="1:5" ht="42.95" customHeight="1" x14ac:dyDescent="0.2">
      <c r="A345" s="57" t="s">
        <v>732</v>
      </c>
      <c r="B345" s="57" t="str">
        <f>VLOOKUP($A345,Questions!$A$3:$X$333,2,0)&amp;""</f>
        <v>Will you comply with the institution's policies regarding user privacy and data protection?</v>
      </c>
      <c r="C345" s="57" t="str">
        <f>VLOOKUP($A345,Questions!$A$3:$X$333,19,0)&amp;""</f>
        <v>This question can help gauge a solution provider's willingness to align with institutional data privacy and protection policies before the contracting stage.</v>
      </c>
      <c r="D345" s="57" t="str">
        <f>VLOOKUP($A345,Questions!$A$3:$X$333,20,0)&amp;""</f>
        <v>Do any parts of your institutional policy conflict with the solution provider's standard practices?</v>
      </c>
    </row>
    <row r="346" spans="1:5" ht="65.25" customHeight="1" x14ac:dyDescent="0.2">
      <c r="A346" s="57" t="s">
        <v>734</v>
      </c>
      <c r="B346" s="57" t="str">
        <f>VLOOKUP($A346,Questions!$A$3:$X$333,2,0)&amp;""</f>
        <v>Is your company subject to the laws and regulations of the institution's geographic region?</v>
      </c>
      <c r="C346" s="57" t="str">
        <f>VLOOKUP($A346,Questions!$A$3:$X$333,19,0)&amp;""</f>
        <v>This question identifies whether the institution and solution provider are beholden to the same laws. If not, this should be covered in the contract.</v>
      </c>
      <c r="D346" s="57" t="str">
        <f>VLOOKUP($A346,Questions!$A$3:$X$333,20,0)&amp;""</f>
        <v>Which laws apply to your operations in institution's region? Where is institutional data processed or stored? Provide a link or document summarizing your compliance stance.</v>
      </c>
    </row>
    <row r="347" spans="1:5" ht="57" x14ac:dyDescent="0.2">
      <c r="A347" s="57" t="s">
        <v>736</v>
      </c>
      <c r="B347" s="57" t="str">
        <f>VLOOKUP($A347,Questions!$A$3:$X$333,2,0)&amp;""</f>
        <v>Do you have a privacy awareness/training program?*</v>
      </c>
      <c r="C347" s="57" t="str">
        <f>VLOOKUP($A347,Questions!$A$3:$X$333,19,0)&amp;""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347" s="57" t="str">
        <f>VLOOKUP($A347,Questions!$A$3:$X$333,20,0)&amp;""</f>
        <v/>
      </c>
    </row>
    <row r="348" spans="1:5" ht="42.95" customHeight="1" x14ac:dyDescent="0.2">
      <c r="A348" s="57" t="s">
        <v>737</v>
      </c>
      <c r="B348" s="57" t="str">
        <f>VLOOKUP($A348,Questions!$A$3:$X$333,2,0)&amp;""</f>
        <v>Is privacy awareness training mandatory for all employees?</v>
      </c>
      <c r="C348" s="57" t="str">
        <f>VLOOKUP($A348,Questions!$A$3:$X$333,19,0)&amp;""</f>
        <v>This question serves a critical purpose in evaluating a vendor or institution’s commitment to data protection, risk mitigation, and regulatory compliance.</v>
      </c>
      <c r="D348" s="57" t="str">
        <f>VLOOKUP($A348,Questions!$A$3:$X$333,20,0)&amp;""</f>
        <v>This question helps assess whether privacy is treated as an organizational responsibility and whether the institution enforces consistent practices to reduce human risk factors.</v>
      </c>
    </row>
    <row r="349" spans="1:5" ht="42.95" customHeight="1" x14ac:dyDescent="0.2">
      <c r="A349" s="57" t="s">
        <v>740</v>
      </c>
      <c r="B349" s="57" t="str">
        <f>VLOOKUP($A349,Questions!$A$3:$X$333,2,0)&amp;""</f>
        <v>Is AI privacy and ethics awareness/training required for all employees who work with AI?</v>
      </c>
      <c r="C349" s="57" t="str">
        <f>VLOOKUP($A349,Questions!$A$3:$X$333,19,0)&amp;""</f>
        <v>This question is intended to assess whether an institution or vendor is proactively managing the risks, responsibilities, and ethical implications of AI use, especially as it relates to sensitive data, autonomy, and fairness.</v>
      </c>
      <c r="D349" s="57" t="str">
        <f>VLOOKUP($A349,Questions!$A$3:$X$333,20,0)&amp;""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50" spans="1:5" ht="70.5" customHeight="1" x14ac:dyDescent="0.2">
      <c r="A350" s="57" t="s">
        <v>743</v>
      </c>
      <c r="B350" s="57" t="str">
        <f>VLOOKUP($A350,Questions!$A$3:$X$333,2,0)&amp;""</f>
        <v>Do you have any decision-making processes that are completely automated (i.e., there is no human involvement)?</v>
      </c>
      <c r="C350" s="57" t="str">
        <f>VLOOKUP($A350,Questions!$A$3:$X$333,19,0)&amp;""</f>
        <v>This question identifies potential privacy, ethical, security, and compliance risks that may arise from fully automated systems, especially those that affect individuals or their data.</v>
      </c>
      <c r="D350" s="57" t="str">
        <f>VLOOKUP($A350,Questions!$A$3:$X$333,20,0)&amp;""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c r="E350" s="241" t="s">
        <v>1454</v>
      </c>
    </row>
    <row r="351" spans="1:5" ht="57" x14ac:dyDescent="0.2">
      <c r="A351" s="57" t="s">
        <v>744</v>
      </c>
      <c r="B351" s="57" t="str">
        <f>VLOOKUP($A351,Questions!$A$3:$X$333,2,0)&amp;""</f>
        <v>Do you have a documented process for managing automated processing, including validations, monitoring, and data subject requests?</v>
      </c>
      <c r="C351" s="57" t="str">
        <f>VLOOKUP($A351,Questions!$A$3:$X$333,19,0)&amp;""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51" s="57" t="str">
        <f>VLOOKUP($A351,Questions!$A$3:$X$333,20,0)&amp;""</f>
        <v/>
      </c>
    </row>
    <row r="352" spans="1:5" ht="42.95" customHeight="1" x14ac:dyDescent="0.2">
      <c r="A352" s="57" t="s">
        <v>746</v>
      </c>
      <c r="B352" s="57" t="str">
        <f>VLOOKUP($A352,Questions!$A$3:$X$333,2,0)&amp;""</f>
        <v>Do you have a documented policy for sharing information with law enforcement?</v>
      </c>
      <c r="C352" s="57" t="str">
        <f>VLOOKUP($A352,Questions!$A$3:$X$333,19,0)&amp;""</f>
        <v>The institution should know which laws apply to the data to which the solution provider will have access. You should also have a thorough understanding of how requests from law enforcement will be handled.</v>
      </c>
      <c r="D352" s="57" t="str">
        <f>VLOOKUP($A352,Questions!$A$3:$X$333,20,0)&amp;""</f>
        <v/>
      </c>
    </row>
    <row r="353" spans="1:5" ht="42.95" customHeight="1" x14ac:dyDescent="0.2">
      <c r="A353" s="57" t="s">
        <v>749</v>
      </c>
      <c r="B353" s="57" t="str">
        <f>VLOOKUP($A353,Questions!$A$3:$X$333,2,0)&amp;""</f>
        <v>Do you share any institutional data with law enforcement without a valid warrant or subpoena?*</v>
      </c>
      <c r="C353" s="57" t="str">
        <f>VLOOKUP($A353,Questions!$A$3:$X$333,19,0)&amp;""</f>
        <v>To protect institutional and individual privacy rights by ensuring data is only disclosed to law enforcement through proper legal channels with appropriate due process protections.</v>
      </c>
      <c r="D353" s="57" t="str">
        <f>VLOOKUP($A353,Questions!$A$3:$X$333,20,0)&amp;""</f>
        <v>If yes, under what circumstances and with what documentation/notification to the institution?</v>
      </c>
    </row>
    <row r="354" spans="1:5" ht="42.95" customHeight="1" x14ac:dyDescent="0.2">
      <c r="A354" s="57" t="s">
        <v>750</v>
      </c>
      <c r="B354" s="57" t="str">
        <f>VLOOKUP($A354,Questions!$A$3:$X$333,2,0)&amp;""</f>
        <v>Does your incident response team include a privacy analyst/officer?</v>
      </c>
      <c r="C354" s="57" t="str">
        <f>VLOOKUP($A354,Questions!$A$3:$X$333,19,0)&amp;""</f>
        <v>Having a privacy analyst/officer on an incident response team can help the company more quickly identify a breach and comply with applicable notification laws.</v>
      </c>
      <c r="D354" s="57" t="str">
        <f>VLOOKUP($A354,Questions!$A$3:$X$333,20,0)&amp;""</f>
        <v/>
      </c>
    </row>
    <row r="355" spans="1:5" ht="42.95" customHeight="1" x14ac:dyDescent="0.2">
      <c r="A355" s="63" t="str">
        <f>VLOOKUP(LEFT($A356,4),'Auto Responses'!$N$4:$O$38,2,0)&amp;""</f>
        <v xml:space="preserve"> International Privacy</v>
      </c>
      <c r="B355" s="63"/>
      <c r="C355" s="56" t="str">
        <f>Questions!$S$2</f>
        <v>Reason for Question</v>
      </c>
      <c r="D355" s="56" t="str">
        <f>Questions!$T$2</f>
        <v>Follow-Up Inquiries/Responses</v>
      </c>
    </row>
    <row r="356" spans="1:5" ht="42.95" customHeight="1" x14ac:dyDescent="0.2">
      <c r="A356" s="57" t="s">
        <v>752</v>
      </c>
      <c r="B356" s="57" t="str">
        <f>VLOOKUP($A356,Questions!$A$3:$X$333,2,0)&amp;""</f>
        <v>Will data be collected from or processed in or stored in the European Economic Area (EEA)?</v>
      </c>
      <c r="C356" s="57" t="str">
        <f>VLOOKUP($A356,Questions!$A$3:$X$333,19,0)&amp;""</f>
        <v>Understanding whether the vendor processes data in Europe may help with institutional GDPR compliance.</v>
      </c>
      <c r="D356" s="57" t="str">
        <f>VLOOKUP($A356,Questions!$A$3:$X$333,20,0)&amp;""</f>
        <v>If institution's intended use includes targeting of data subjects in EEA/UK and if vendor marks "no," institution might want to follow up to clarify data collected.</v>
      </c>
      <c r="E356" s="241" t="s">
        <v>1454</v>
      </c>
    </row>
    <row r="357" spans="1:5" ht="42.95" customHeight="1" x14ac:dyDescent="0.2">
      <c r="A357" s="57" t="s">
        <v>755</v>
      </c>
      <c r="B357" s="57" t="str">
        <f>VLOOKUP($A357,Questions!$A$3:$X$333,2,0)&amp;""</f>
        <v>Do you have a data protection officer (DPO)?</v>
      </c>
      <c r="C357" s="57" t="str">
        <f>VLOOKUP($A357,Questions!$A$3:$X$333,19,0)&amp;""</f>
        <v>Vendors targeting services in the EEA/UK should have GDPR-compliant policies and procedures.</v>
      </c>
      <c r="D357" s="57" t="str">
        <f>VLOOKUP($A357,Questions!$A$3:$X$333,20,0)&amp;""</f>
        <v/>
      </c>
    </row>
    <row r="358" spans="1:5" ht="42.95" customHeight="1" x14ac:dyDescent="0.2">
      <c r="A358" s="57" t="s">
        <v>757</v>
      </c>
      <c r="B358" s="57" t="str">
        <f>VLOOKUP($A358,Questions!$A$3:$X$333,2,0)&amp;""</f>
        <v>Will you sign appropriate GDPR Standard Contractual Clauses (SCCs) with the institution?</v>
      </c>
      <c r="C358" s="57" t="str">
        <f>VLOOKUP($A358,Questions!$A$3:$X$333,19,0)&amp;""</f>
        <v>Vendors targeting services in the EEA/UK should have the ability to agree to the SCCs.</v>
      </c>
      <c r="D358" s="57" t="str">
        <f>VLOOKUP($A358,Questions!$A$3:$X$333,20,0)&amp;""</f>
        <v/>
      </c>
    </row>
    <row r="359" spans="1:5" ht="42.95" customHeight="1" x14ac:dyDescent="0.2">
      <c r="A359" s="57" t="s">
        <v>759</v>
      </c>
      <c r="B359" s="57" t="str">
        <f>VLOOKUP($A359,Questions!$A$3:$X$333,2,0)&amp;""</f>
        <v>Will data be collected from or processed in or stored in China?</v>
      </c>
      <c r="C359" s="57" t="str">
        <f>VLOOKUP($A359,Questions!$A$3:$X$333,19,0)&amp;""</f>
        <v>Understanding whether the vendor processes data in China may help with institutional PIPL compliance.</v>
      </c>
      <c r="D359" s="57" t="str">
        <f>VLOOKUP($A359,Questions!$A$3:$X$333,20,0)&amp;""</f>
        <v>If institution's intended use includes targeting of data subjects in China and if vendor marks "no," institution might want to follow up to clarify data collected.</v>
      </c>
    </row>
    <row r="360" spans="1:5" ht="42.95" customHeight="1" x14ac:dyDescent="0.2">
      <c r="A360" s="57" t="s">
        <v>762</v>
      </c>
      <c r="B360" s="57" t="str">
        <f>VLOOKUP($A360,Questions!$A$3:$X$333,2,0)&amp;""</f>
        <v>Do you comply with PIPL security, privacy, and data localization requirements?</v>
      </c>
      <c r="C360" s="57" t="str">
        <f>VLOOKUP($A360,Questions!$A$3:$X$333,19,0)&amp;""</f>
        <v>Vendors targeting services in China should have the ability to comply with PIPL requirements.</v>
      </c>
      <c r="D360" s="57" t="str">
        <f>VLOOKUP($A360,Questions!$A$3:$X$333,20,0)&amp;""</f>
        <v/>
      </c>
    </row>
    <row r="361" spans="1:5" ht="42.95" customHeight="1" x14ac:dyDescent="0.2">
      <c r="A361" s="63" t="str">
        <f>VLOOKUP(LEFT($A362,4),'Auto Responses'!$N$4:$O$38,2,0)&amp;""</f>
        <v xml:space="preserve"> Data Privacy</v>
      </c>
      <c r="B361" s="63"/>
      <c r="C361" s="56" t="str">
        <f>Questions!$S$2</f>
        <v>Reason for Question</v>
      </c>
      <c r="D361" s="56" t="str">
        <f>Questions!$T$2</f>
        <v>Follow-Up Inquiries/Responses</v>
      </c>
    </row>
    <row r="362" spans="1:5" ht="42.95" customHeight="1" x14ac:dyDescent="0.2">
      <c r="A362" s="57" t="s">
        <v>1035</v>
      </c>
      <c r="B362" s="57" t="str">
        <f>VLOOKUP($A362,Questions!$A$3:$X$333,2,0)&amp;""</f>
        <v>Have you performed a Data Privacy Impact Assessment for the solution/project?</v>
      </c>
      <c r="C362" s="57" t="str">
        <f>VLOOKUP($A362,Questions!$A$3:$X$333,19,0)&amp;""</f>
        <v>To verify the vendor has systematically evaluated privacy risks and implemented appropriate safeguards before deploying their solution, demonstrating privacy-by-design principles.</v>
      </c>
      <c r="D362" s="57" t="str">
        <f>VLOOKUP($A362,Questions!$A$3:$X$333,20,0)&amp;""</f>
        <v>Please provide a copy of the DPIA or summary of findings and mitigation measures.</v>
      </c>
    </row>
    <row r="363" spans="1:5" ht="42.95" customHeight="1" x14ac:dyDescent="0.2">
      <c r="A363" s="57" t="s">
        <v>1036</v>
      </c>
      <c r="B363" s="57" t="str">
        <f>VLOOKUP($A363,Questions!$A$3:$X$333,2,0)&amp;""</f>
        <v>Do you provide an end-user privacy notice about privacy policies and procedures that identify the purpose(s) for which personal information is collected, used, retained, and disclosed?</v>
      </c>
      <c r="C363" s="57" t="str">
        <f>VLOOKUP($A363,Questions!$A$3:$X$333,19,0)&amp;""</f>
        <v>To ensure transparency with end users about data practices and compliance with privacy notice requirements under FERPA, GDPR, CCPA, and other applicable regulations.</v>
      </c>
      <c r="D363" s="57" t="str">
        <f>VLOOKUP($A363,Questions!$A$3:$X$333,20,0)&amp;""</f>
        <v>How do you inform users of changes to the policy?</v>
      </c>
    </row>
    <row r="364" spans="1:5" ht="42.95" customHeight="1" x14ac:dyDescent="0.2">
      <c r="A364" s="57" t="s">
        <v>1037</v>
      </c>
      <c r="B364" s="57" t="str">
        <f>VLOOKUP($A364,Questions!$A$3:$X$333,2,0)&amp;""</f>
        <v>Do you describe the choices available to the individual and obtain implicit or explicit consent with respect to the collection, use, and disclosure of personal information?</v>
      </c>
      <c r="C364" s="57" t="str">
        <f>VLOOKUP($A364,Questions!$A$3:$X$333,19,0)&amp;""</f>
        <v>To verify meaningful consent mechanisms exist and users have adequate control over their personal information in accordance with fair information practice principles and regulatory requirements.</v>
      </c>
      <c r="D364" s="57" t="str">
        <f>VLOOKUP($A364,Questions!$A$3:$X$333,20,0)&amp;""</f>
        <v>Describe your consent mechanism and how users can withdraw consent if they choose.</v>
      </c>
    </row>
    <row r="365" spans="1:5" ht="42.95" customHeight="1" x14ac:dyDescent="0.2">
      <c r="A365" s="57" t="s">
        <v>1038</v>
      </c>
      <c r="B365" s="57" t="str">
        <f>VLOOKUP($A365,Questions!$A$3:$X$333,2,0)&amp;""</f>
        <v>Do you collect personal information only for the purpose(s) identified in the agreement with an institution or, if there is none, the purpose(s) identified in the privacy notice?</v>
      </c>
      <c r="C365" s="57" t="str">
        <f>VLOOKUP($A365,Questions!$A$3:$X$333,19,0)&amp;""</f>
        <v>Companies may collect information for purposes not outlined in the service agreement, including quality assurance, marketing, etc. Institutions should have a thorough understanding of what data is being used and how.</v>
      </c>
      <c r="D365" s="57" t="str">
        <f>VLOOKUP($A365,Questions!$A$3:$X$333,20,0)&amp;""</f>
        <v/>
      </c>
      <c r="E365" s="241" t="s">
        <v>1454</v>
      </c>
    </row>
    <row r="366" spans="1:5" ht="42.95" customHeight="1" x14ac:dyDescent="0.2">
      <c r="A366" s="57" t="s">
        <v>1039</v>
      </c>
      <c r="B366" s="57" t="str">
        <f>VLOOKUP($A366,Questions!$A$3:$X$333,2,0)&amp;""</f>
        <v>Do you have a documented list of personal data your service maintains?</v>
      </c>
      <c r="C366" s="57" t="str">
        <f>VLOOKUP($A366,Questions!$A$3:$X$333,19,0)&amp;""</f>
        <v>To ensure the vendor maintains data inventory records necessary for privacy compliance, breach response, data subject rights requests, and understanding the full scope of data collection.</v>
      </c>
      <c r="D366" s="57" t="str">
        <f>VLOOKUP($A366,Questions!$A$3:$X$333,20,0)&amp;""</f>
        <v>Please provide your data inventory or map showing categories of personal data collected and retention periods.</v>
      </c>
    </row>
    <row r="367" spans="1:5" ht="42.95" customHeight="1" x14ac:dyDescent="0.2">
      <c r="A367" s="57" t="s">
        <v>1040</v>
      </c>
      <c r="B367" s="57" t="str">
        <f>VLOOKUP($A367,Questions!$A$3:$X$333,2,0)&amp;""</f>
        <v>Do you retain personal information for only as long as necessary to fulfill the stated purpose(s) or as required by law or regulation and thereafter appropriately dispose of such information?</v>
      </c>
      <c r="C367" s="57" t="str">
        <f>VLOOKUP($A367,Questions!$A$3:$X$333,19,0)&amp;""</f>
        <v>Data minimization is a basic privacy principle, and it is important to know whether the solution provider is keeping data longer than necessary and introducing a significant privacy risk.</v>
      </c>
      <c r="D367" s="57" t="str">
        <f>VLOOKUP($A367,Questions!$A$3:$X$333,20,0)&amp;""</f>
        <v/>
      </c>
    </row>
    <row r="368" spans="1:5" ht="71.25" x14ac:dyDescent="0.2">
      <c r="A368" s="57" t="s">
        <v>1041</v>
      </c>
      <c r="B368" s="57" t="str">
        <f>VLOOKUP($A368,Questions!$A$3:$X$333,2,0)&amp;""</f>
        <v>Do you provide individuals with access to their personal information for review and update (i.e., data subject rights)?</v>
      </c>
      <c r="C368" s="57" t="str">
        <f>VLOOKUP($A368,Questions!$A$3:$X$333,19,0)&amp;""</f>
        <v>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v>
      </c>
      <c r="D368" s="57" t="str">
        <f>VLOOKUP($A368,Questions!$A$3:$X$333,20,0)&amp;""</f>
        <v/>
      </c>
    </row>
    <row r="369" spans="1:5" ht="42.95" customHeight="1" x14ac:dyDescent="0.2">
      <c r="A369" s="57" t="s">
        <v>1042</v>
      </c>
      <c r="B369" s="57" t="str">
        <f>VLOOKUP($A369,Questions!$A$3:$X$333,2,0)&amp;""</f>
        <v>Do you disclose personal information to third parties only for the purpose(s) identified in the privacy notice or with the implicit or explicit consent of the individual?</v>
      </c>
      <c r="C369" s="57" t="str">
        <f>VLOOKUP($A369,Questions!$A$3:$X$333,19,0)&amp;""</f>
        <v>To limit unauthorized third-party data sharing and ensure transparency about data flows beyond the direct vendor relationship, protecting against unexpected secondary uses.</v>
      </c>
      <c r="D369" s="57" t="str">
        <f>VLOOKUP($A369,Questions!$A$3:$X$333,20,0)&amp;""</f>
        <v>Provide a list of third parties who receive personal information and the purpose for each disclosure.</v>
      </c>
    </row>
    <row r="370" spans="1:5" ht="42.95" customHeight="1" x14ac:dyDescent="0.2">
      <c r="A370" s="57" t="s">
        <v>1043</v>
      </c>
      <c r="B370" s="57" t="str">
        <f>VLOOKUP($A370,Questions!$A$3:$X$333,2,0)&amp;""</f>
        <v>Do you protect personal information against unauthorized access (both physical and logical)?</v>
      </c>
      <c r="C370" s="57" t="str">
        <f>VLOOKUP($A370,Questions!$A$3:$X$333,19,0)&amp;""</f>
        <v>To verify appropriate security controls are in place to protect personal data from breaches, unauthorized disclosure, and both external and internal threats.</v>
      </c>
      <c r="D370" s="57" t="str">
        <f>VLOOKUP($A370,Questions!$A$3:$X$333,20,0)&amp;""</f>
        <v>Describe your access control mechanisms, encryption methods, and incident response procedures.</v>
      </c>
    </row>
    <row r="371" spans="1:5" ht="42.95" customHeight="1" x14ac:dyDescent="0.2">
      <c r="A371" s="57" t="s">
        <v>1044</v>
      </c>
      <c r="B371" s="57" t="str">
        <f>VLOOKUP($A371,Questions!$A$3:$X$333,2,0)&amp;""</f>
        <v>Do you maintain accurate, complete, and relevant personal information for the purposes identified in the privacy notice?</v>
      </c>
      <c r="C371" s="57" t="str">
        <f>VLOOKUP($A371,Questions!$A$3:$X$333,19,0)&amp;""</f>
        <v>To ensure data quality practices that prevent privacy harms from inaccurate or outdated personal information, particularly in contexts where data accuracy affects individual rights or opportunities.</v>
      </c>
      <c r="D371" s="57" t="str">
        <f>VLOOKUP($A371,Questions!$A$3:$X$333,20,0)&amp;""</f>
        <v>What processes do you have for individuals to review and correct their personal information?</v>
      </c>
    </row>
    <row r="372" spans="1:5" ht="42.95" customHeight="1" x14ac:dyDescent="0.2">
      <c r="A372" s="57" t="s">
        <v>1045</v>
      </c>
      <c r="B372" s="57" t="str">
        <f>VLOOKUP($A372,Questions!$A$3:$X$333,2,0)&amp;""</f>
        <v>Do you have procedures to address privacy-related noncompliance complaints and disputes?</v>
      </c>
      <c r="C372" s="57" t="str">
        <f>VLOOKUP($A372,Questions!$A$3:$X$333,19,0)&amp;""</f>
        <v>To verify accountability mechanisms exist for addressing privacy concerns, providing recourse to affected individuals, and demonstrating responsiveness to privacy complaints.</v>
      </c>
      <c r="D372" s="57" t="str">
        <f>VLOOKUP($A372,Questions!$A$3:$X$333,20,0)&amp;""</f>
        <v>Describe your complaint handling process, typical response times, and escalation procedures.</v>
      </c>
      <c r="E372" s="241" t="s">
        <v>1454</v>
      </c>
    </row>
    <row r="373" spans="1:5" ht="42.75" x14ac:dyDescent="0.2">
      <c r="A373" s="57" t="s">
        <v>1046</v>
      </c>
      <c r="B373" s="57" t="str">
        <f>VLOOKUP($A373,Questions!$A$3:$X$333,2,0)&amp;""</f>
        <v>Do you "anonymize," "de-identify," or otherwise mask personal data?</v>
      </c>
      <c r="C373" s="57" t="str">
        <f>VLOOKUP($A373,Questions!$A$3:$X$333,19,0)&amp;""</f>
        <v>To understand the vendor's approach to privacy-enhancing techniques and assess whether data masking methods are appropriate, effective, and aligned with recognized anonymization standards.</v>
      </c>
      <c r="D373" s="57" t="str">
        <f>VLOOKUP($A373,Questions!$A$3:$X$333,20,0)&amp;""</f>
        <v>Describe your anonymization methodology and any validation or testing performed to ensure re-identification risks are minimized.</v>
      </c>
    </row>
    <row r="374" spans="1:5" ht="71.25" x14ac:dyDescent="0.2">
      <c r="A374" s="57" t="s">
        <v>1047</v>
      </c>
      <c r="B374" s="57" t="str">
        <f>VLOOKUP($A374,Questions!$A$3:$X$333,2,0)&amp;""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74" s="57" t="str">
        <f>VLOOKUP($A374,Questions!$A$3:$X$333,19,0)&amp;""</f>
        <v>To prevent secondary use of institutional data that could undermine privacy protections, contradict institutional data governance policies, or enable commercial uses incompatible with educational purposes.</v>
      </c>
      <c r="D374" s="57" t="str">
        <f>VLOOKUP($A374,Questions!$A$3:$X$333,20,0)&amp;""</f>
        <v>If yes, provide details on secondary uses and obtain specific written consent from the institution for these uses.</v>
      </c>
    </row>
    <row r="375" spans="1:5" ht="71.25" x14ac:dyDescent="0.2">
      <c r="A375" s="57" t="s">
        <v>1048</v>
      </c>
      <c r="B375" s="57" t="str">
        <f>VLOOKUP($A375,Questions!$A$3:$X$333,2,0)&amp;""</f>
        <v>Do you certify stop-processing requests, including any data that is processed by a third party on your behalf?</v>
      </c>
      <c r="C375" s="57" t="str">
        <f>VLOOKUP($A375,Questions!$A$3:$X$333,19,0)&amp;""</f>
        <v>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75" s="57" t="str">
        <f>VLOOKUP($A375,Questions!$A$3:$X$333,20,0)&amp;""</f>
        <v>If your organization has exchange programs or does business with global organizations or organizations located outside the United States, depending on the services sought, your institution should determine whether this is a requirement.</v>
      </c>
    </row>
    <row r="376" spans="1:5" ht="57" x14ac:dyDescent="0.2">
      <c r="A376" s="57" t="s">
        <v>1049</v>
      </c>
      <c r="B376" s="57" t="str">
        <f>VLOOKUP($A376,Questions!$A$3:$X$333,2,0)&amp;""</f>
        <v>Do you have a process to review code for ethical considerations?</v>
      </c>
      <c r="C376" s="57" t="str">
        <f>VLOOKUP($A376,Questions!$A$3:$X$333,19,0)&amp;""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76" s="57" t="str">
        <f>VLOOKUP($A376,Questions!$A$3:$X$333,20,0)&amp;""</f>
        <v/>
      </c>
    </row>
    <row r="377" spans="1:5" ht="18" hidden="1" x14ac:dyDescent="0.2">
      <c r="A377" s="63" t="str">
        <f>VLOOKUP(LEFT($A378,4),'Auto Responses'!$N$4:$O$38,2,0)&amp;""</f>
        <v xml:space="preserve"> Privacy and AI</v>
      </c>
      <c r="B377" s="63"/>
      <c r="C377" s="56" t="str">
        <f>Questions!$S$2</f>
        <v>Reason for Question</v>
      </c>
      <c r="D377" s="56" t="str">
        <f>Questions!$T$2</f>
        <v>Follow-Up Inquiries/Responses</v>
      </c>
    </row>
    <row r="378" spans="1:5" ht="28.5" hidden="1" x14ac:dyDescent="0.2">
      <c r="A378" s="57" t="s">
        <v>1050</v>
      </c>
      <c r="B378" s="57" t="str">
        <f>VLOOKUP($A378,Questions!$A$3:$X$333,2,0)&amp;""</f>
        <v>Does your service use AI for the processing of institutional data?</v>
      </c>
      <c r="C378" s="57" t="str">
        <f>VLOOKUP($A378,Questions!$A$3:$X$333,18,0)&amp;""</f>
        <v>Please explain why this does not apply to your product or service.</v>
      </c>
      <c r="D378" s="57" t="str">
        <f>VLOOKUP($A378,Questions!$A$3:$X$333,19,0)&amp;""</f>
        <v>To identify AI-related privacy risks including potential bias, unintended disclosures, lack of explainability in automated decision-making, and training data provenance concerns.</v>
      </c>
    </row>
    <row r="379" spans="1:5" ht="28.5" hidden="1" x14ac:dyDescent="0.2">
      <c r="A379" s="57" t="s">
        <v>1051</v>
      </c>
      <c r="B379" s="57" t="str">
        <f>VLOOKUP($A379,Questions!$A$3:$X$333,2,0)&amp;""</f>
        <v>Is any institutional data retained in AI processing?*</v>
      </c>
      <c r="C379" s="57" t="str">
        <f>VLOOKUP($A379,Questions!$A$3:$X$333,18,0)&amp;""</f>
        <v>Please explain why this does not apply to your product or service.</v>
      </c>
      <c r="D379" s="57" t="str">
        <f>VLOOKUP($A379,Questions!$A$3:$X$333,19,0)&amp;""</f>
        <v>This question assesses whether institutional data is stored or retained during AI processing, which may have implications for data security, retention policies, and regulatory compliance.</v>
      </c>
    </row>
    <row r="380" spans="1:5" ht="28.5" hidden="1" x14ac:dyDescent="0.2">
      <c r="A380" s="57" t="s">
        <v>773</v>
      </c>
      <c r="B380" s="57" t="str">
        <f>VLOOKUP($A380,Questions!$A$3:$X$333,2,0)&amp;""</f>
        <v>Do you have agreements in place with third parties or subprocessors regarding the protection of customer data and use of AI?*</v>
      </c>
      <c r="C380" s="57" t="str">
        <f>VLOOKUP($A380,Questions!$A$3:$X$333,18,0)&amp;""</f>
        <v>Please explain why this does not apply to your product or service.</v>
      </c>
      <c r="D380" s="57" t="str">
        <f>VLOOKUP($A380,Questions!$A$3:$X$333,19,0)&amp;""</f>
        <v>It's important to ensure that third-party vendors or subprocessors involved in AI processing are contractually bound to protect institutional data and comply with privacy standards.</v>
      </c>
    </row>
    <row r="381" spans="1:5" ht="28.5" hidden="1" x14ac:dyDescent="0.2">
      <c r="A381" s="57" t="s">
        <v>775</v>
      </c>
      <c r="B381" s="57" t="str">
        <f>VLOOKUP($A381,Questions!$A$3:$X$333,2,0)&amp;""</f>
        <v>Will institutional data be processed through a third party or subprocessor that also uses AI?</v>
      </c>
      <c r="C381" s="57" t="str">
        <f>VLOOKUP($A381,Questions!$A$3:$X$333,18,0)&amp;""</f>
        <v>Please explain why this does not apply to your product or service.</v>
      </c>
      <c r="D381" s="57" t="str">
        <f>VLOOKUP($A381,Questions!$A$3:$X$333,19,0)&amp;""</f>
        <v>This question identifies whether institutional data is shared with or processed by third parties that use AI, which may introduce additional privacy or ethical considerations.</v>
      </c>
    </row>
    <row r="382" spans="1:5" ht="28.5" hidden="1" x14ac:dyDescent="0.2">
      <c r="A382" s="57" t="s">
        <v>776</v>
      </c>
      <c r="B382" s="57" t="str">
        <f>VLOOKUP($A382,Questions!$A$3:$X$333,2,0)&amp;""</f>
        <v>Is AI processing limited to fully licensed commercial enterprise AI services?</v>
      </c>
      <c r="C382" s="57" t="str">
        <f>VLOOKUP($A382,Questions!$A$3:$X$333,18,0)&amp;""</f>
        <v>Please explain why this does not apply to your product or service.</v>
      </c>
      <c r="D382" s="57" t="str">
        <f>VLOOKUP($A382,Questions!$A$3:$X$333,19,0)&amp;""</f>
        <v>In most cases, only enterprise licenses allow for an organization to customize what data is collected and how it is used. Free licenses to AI tools could introduce a risk to data.</v>
      </c>
    </row>
    <row r="383" spans="1:5" ht="42.75" hidden="1" x14ac:dyDescent="0.2">
      <c r="A383" s="57" t="s">
        <v>778</v>
      </c>
      <c r="B383" s="57" t="str">
        <f>VLOOKUP($A383,Questions!$A$3:$X$333,2,0)&amp;""</f>
        <v>Will institutional data be used or processed by any shared AI services?</v>
      </c>
      <c r="C383" s="57" t="str">
        <f>VLOOKUP($A383,Questions!$A$3:$X$333,18,0)&amp;""</f>
        <v>Please explain why this does not apply to your product or service.</v>
      </c>
      <c r="D383" s="57" t="str">
        <f>VLOOKUP($A383,Questions!$A$3:$X$333,19,0)&amp;""</f>
        <v>Use of AI services and tools runs a risk of being supported by bad batches or databanks of information. Additionally, harmful bias and other data-quality issues can affect AI system trustworthiness, which could lead to negative impacts.</v>
      </c>
    </row>
    <row r="384" spans="1:5" ht="57" hidden="1" x14ac:dyDescent="0.2">
      <c r="A384" s="57" t="s">
        <v>779</v>
      </c>
      <c r="B384" s="57" t="str">
        <f>VLOOKUP($A384,Questions!$A$3:$X$333,2,0)&amp;""</f>
        <v>Do you have safeguards in place to protect institutional data and data privacy from unintended AI queries or processing?</v>
      </c>
      <c r="C384" s="57" t="str">
        <f>VLOOKUP($A384,Questions!$A$3:$X$333,18,0)&amp;""</f>
        <v>Please explain why this does not apply to your product or service.</v>
      </c>
      <c r="D384" s="57" t="str">
        <f>VLOOKUP($A384,Questions!$A$3:$X$333,19,0)&amp;""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85" spans="1:4" ht="28.5" hidden="1" x14ac:dyDescent="0.2">
      <c r="A385" s="57" t="s">
        <v>780</v>
      </c>
      <c r="B385" s="57" t="str">
        <f>VLOOKUP($A385,Questions!$A$3:$X$333,2,0)&amp;""</f>
        <v>Do you provide choice to the user to opt out of AI use?</v>
      </c>
      <c r="C385" s="57" t="str">
        <f>VLOOKUP($A385,Questions!$A$3:$X$333,18,0)&amp;""</f>
        <v>Please explain why this does not apply to your product or service.</v>
      </c>
      <c r="D385" s="57" t="str">
        <f>VLOOKUP($A385,Questions!$A$3:$X$333,19,0)&amp;""</f>
        <v>To ensure user autonomy regarding AI processing of their data and compliance with emerging AI transparency requirements and ethical principles around algorithmic decision-making.</v>
      </c>
    </row>
  </sheetData>
  <phoneticPr fontId="31"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C325" activePane="bottomRight" state="frozen"/>
      <selection pane="topRight" activeCell="C1" sqref="C1"/>
      <selection pane="bottomLeft" activeCell="A2" sqref="A2"/>
      <selection pane="bottomRight" activeCell="O329" sqref="O329"/>
    </sheetView>
  </sheetViews>
  <sheetFormatPr defaultColWidth="8.796875" defaultRowHeight="15.75" customHeight="1" x14ac:dyDescent="0.2"/>
  <cols>
    <col min="1" max="1" width="8.796875" style="341" customWidth="1"/>
    <col min="2" max="2" width="35.69921875" style="341" customWidth="1"/>
    <col min="3" max="3" width="6.19921875" style="341" customWidth="1"/>
    <col min="4" max="4" width="5.8984375" style="341" customWidth="1"/>
    <col min="5" max="5" width="6.69921875" style="341" customWidth="1"/>
    <col min="6" max="6" width="7.19921875" style="341" customWidth="1"/>
    <col min="7" max="7" width="7.296875" style="341" customWidth="1"/>
    <col min="8" max="9" width="7.5" style="341" customWidth="1"/>
    <col min="10" max="10" width="6.8984375" style="341" customWidth="1"/>
    <col min="11" max="11" width="15.3984375" style="341" customWidth="1"/>
    <col min="12" max="12" width="12.69921875" style="341" customWidth="1"/>
    <col min="13" max="13" width="8.796875" style="341" customWidth="1"/>
    <col min="14" max="20" width="18.19921875" style="341" customWidth="1"/>
    <col min="21" max="22" width="8.796875" style="341" customWidth="1"/>
    <col min="23" max="23" width="10.8984375" style="341" customWidth="1"/>
    <col min="24" max="24" width="11.19921875" style="341" customWidth="1"/>
    <col min="25" max="16384" width="8.796875" style="341"/>
  </cols>
  <sheetData>
    <row r="1" spans="1:24" ht="15.75" hidden="1" customHeight="1" x14ac:dyDescent="0.2">
      <c r="A1" s="340" t="s">
        <v>1458</v>
      </c>
    </row>
    <row r="2" spans="1:24" ht="30" x14ac:dyDescent="0.2">
      <c r="A2" s="342" t="s">
        <v>0</v>
      </c>
      <c r="B2" s="342" t="s">
        <v>1</v>
      </c>
      <c r="C2" s="343" t="s">
        <v>2</v>
      </c>
      <c r="D2" s="343" t="s">
        <v>3</v>
      </c>
      <c r="E2" s="343" t="s">
        <v>4</v>
      </c>
      <c r="F2" s="343" t="s">
        <v>5</v>
      </c>
      <c r="G2" s="343" t="s">
        <v>6</v>
      </c>
      <c r="H2" s="343" t="s">
        <v>7</v>
      </c>
      <c r="I2" s="343" t="s">
        <v>8</v>
      </c>
      <c r="J2" s="343" t="s">
        <v>9</v>
      </c>
      <c r="K2" s="344" t="s">
        <v>10</v>
      </c>
      <c r="L2" s="343" t="s">
        <v>11</v>
      </c>
      <c r="M2" s="345" t="s">
        <v>12</v>
      </c>
      <c r="N2" s="343" t="s">
        <v>13</v>
      </c>
      <c r="O2" s="343" t="s">
        <v>14</v>
      </c>
      <c r="P2" s="343" t="s">
        <v>15</v>
      </c>
      <c r="Q2" s="343" t="s">
        <v>16</v>
      </c>
      <c r="R2" s="343" t="s">
        <v>1526</v>
      </c>
      <c r="S2" s="346" t="s">
        <v>17</v>
      </c>
      <c r="T2" s="346" t="s">
        <v>873</v>
      </c>
      <c r="U2" s="347" t="s">
        <v>869</v>
      </c>
      <c r="V2" s="347" t="s">
        <v>18</v>
      </c>
      <c r="W2" s="347" t="s">
        <v>19</v>
      </c>
      <c r="X2" s="347" t="s">
        <v>20</v>
      </c>
    </row>
    <row r="3" spans="1:24" ht="14.25" x14ac:dyDescent="0.2">
      <c r="A3" s="348" t="s">
        <v>21</v>
      </c>
      <c r="B3" s="348" t="s">
        <v>1382</v>
      </c>
      <c r="C3" s="348">
        <v>1</v>
      </c>
      <c r="D3" s="348">
        <v>1</v>
      </c>
      <c r="E3" s="348">
        <v>1</v>
      </c>
      <c r="F3" s="348">
        <v>1</v>
      </c>
      <c r="G3" s="348">
        <v>1</v>
      </c>
      <c r="H3" s="348">
        <v>1</v>
      </c>
      <c r="I3" s="348">
        <v>1</v>
      </c>
      <c r="J3" s="348">
        <v>1</v>
      </c>
      <c r="K3" s="348" t="s">
        <v>22</v>
      </c>
      <c r="L3" s="348" t="s">
        <v>23</v>
      </c>
      <c r="M3" s="348">
        <v>0</v>
      </c>
      <c r="N3" s="348" t="s">
        <v>975</v>
      </c>
      <c r="O3" s="348" t="s">
        <v>975</v>
      </c>
      <c r="P3" s="348" t="s">
        <v>975</v>
      </c>
      <c r="Q3" s="348" t="s">
        <v>975</v>
      </c>
      <c r="R3" s="348"/>
      <c r="S3" s="348" t="s">
        <v>975</v>
      </c>
      <c r="T3" s="348" t="s">
        <v>975</v>
      </c>
      <c r="U3" s="348" t="s">
        <v>1004</v>
      </c>
      <c r="V3" s="348" t="s">
        <v>975</v>
      </c>
      <c r="W3" s="348" t="s">
        <v>975</v>
      </c>
      <c r="X3" s="348"/>
    </row>
    <row r="4" spans="1:24" ht="14.25" x14ac:dyDescent="0.2">
      <c r="A4" s="348" t="s">
        <v>24</v>
      </c>
      <c r="B4" s="348" t="s">
        <v>1205</v>
      </c>
      <c r="C4" s="348">
        <v>1</v>
      </c>
      <c r="D4" s="348">
        <v>1</v>
      </c>
      <c r="E4" s="348">
        <v>1</v>
      </c>
      <c r="F4" s="348">
        <v>1</v>
      </c>
      <c r="G4" s="348">
        <v>1</v>
      </c>
      <c r="H4" s="348">
        <v>1</v>
      </c>
      <c r="I4" s="348">
        <v>1</v>
      </c>
      <c r="J4" s="348">
        <v>1</v>
      </c>
      <c r="K4" s="348" t="s">
        <v>22</v>
      </c>
      <c r="L4" s="348" t="s">
        <v>23</v>
      </c>
      <c r="M4" s="348" t="s">
        <v>983</v>
      </c>
      <c r="N4" s="348" t="s">
        <v>975</v>
      </c>
      <c r="O4" s="348" t="s">
        <v>975</v>
      </c>
      <c r="P4" s="348" t="s">
        <v>975</v>
      </c>
      <c r="Q4" s="348" t="s">
        <v>975</v>
      </c>
      <c r="R4" s="348"/>
      <c r="S4" s="348" t="s">
        <v>975</v>
      </c>
      <c r="T4" s="348" t="s">
        <v>975</v>
      </c>
      <c r="U4" s="348" t="s">
        <v>1004</v>
      </c>
      <c r="V4" s="348" t="s">
        <v>975</v>
      </c>
      <c r="W4" s="348" t="s">
        <v>975</v>
      </c>
      <c r="X4" s="348"/>
    </row>
    <row r="5" spans="1:24" ht="14.25" x14ac:dyDescent="0.2">
      <c r="A5" s="348" t="s">
        <v>25</v>
      </c>
      <c r="B5" s="348" t="s">
        <v>1206</v>
      </c>
      <c r="C5" s="348">
        <v>1</v>
      </c>
      <c r="D5" s="348">
        <v>1</v>
      </c>
      <c r="E5" s="348">
        <v>1</v>
      </c>
      <c r="F5" s="348">
        <v>1</v>
      </c>
      <c r="G5" s="348">
        <v>1</v>
      </c>
      <c r="H5" s="348">
        <v>1</v>
      </c>
      <c r="I5" s="348">
        <v>1</v>
      </c>
      <c r="J5" s="348">
        <v>1</v>
      </c>
      <c r="K5" s="348" t="s">
        <v>22</v>
      </c>
      <c r="L5" s="348" t="s">
        <v>23</v>
      </c>
      <c r="M5" s="348" t="s">
        <v>983</v>
      </c>
      <c r="N5" s="348" t="s">
        <v>975</v>
      </c>
      <c r="O5" s="348" t="s">
        <v>975</v>
      </c>
      <c r="P5" s="348" t="s">
        <v>975</v>
      </c>
      <c r="Q5" s="348" t="s">
        <v>975</v>
      </c>
      <c r="R5" s="348"/>
      <c r="S5" s="348" t="s">
        <v>975</v>
      </c>
      <c r="T5" s="348" t="s">
        <v>975</v>
      </c>
      <c r="U5" s="348" t="s">
        <v>1004</v>
      </c>
      <c r="V5" s="348" t="s">
        <v>975</v>
      </c>
      <c r="W5" s="348" t="s">
        <v>975</v>
      </c>
      <c r="X5" s="348"/>
    </row>
    <row r="6" spans="1:24" ht="14.25" x14ac:dyDescent="0.2">
      <c r="A6" s="348" t="s">
        <v>26</v>
      </c>
      <c r="B6" s="348" t="s">
        <v>1383</v>
      </c>
      <c r="C6" s="348">
        <v>1</v>
      </c>
      <c r="D6" s="348">
        <v>1</v>
      </c>
      <c r="E6" s="348">
        <v>0</v>
      </c>
      <c r="F6" s="348">
        <v>0</v>
      </c>
      <c r="G6" s="348">
        <v>0</v>
      </c>
      <c r="H6" s="348">
        <v>0</v>
      </c>
      <c r="I6" s="348">
        <v>0</v>
      </c>
      <c r="J6" s="348">
        <v>0</v>
      </c>
      <c r="K6" s="348" t="s">
        <v>22</v>
      </c>
      <c r="L6" s="348" t="s">
        <v>23</v>
      </c>
      <c r="M6" s="348" t="s">
        <v>983</v>
      </c>
      <c r="N6" s="348" t="s">
        <v>975</v>
      </c>
      <c r="O6" s="348" t="s">
        <v>975</v>
      </c>
      <c r="P6" s="348" t="s">
        <v>975</v>
      </c>
      <c r="Q6" s="348" t="s">
        <v>975</v>
      </c>
      <c r="R6" s="348"/>
      <c r="S6" s="348" t="s">
        <v>975</v>
      </c>
      <c r="T6" s="348" t="s">
        <v>975</v>
      </c>
      <c r="U6" s="348" t="s">
        <v>1004</v>
      </c>
      <c r="V6" s="348" t="s">
        <v>975</v>
      </c>
      <c r="W6" s="348" t="s">
        <v>975</v>
      </c>
      <c r="X6" s="348"/>
    </row>
    <row r="7" spans="1:24" ht="14.25" x14ac:dyDescent="0.2">
      <c r="A7" s="348" t="s">
        <v>27</v>
      </c>
      <c r="B7" s="348" t="s">
        <v>1384</v>
      </c>
      <c r="C7" s="348">
        <v>1</v>
      </c>
      <c r="D7" s="348">
        <v>1</v>
      </c>
      <c r="E7" s="348">
        <v>0</v>
      </c>
      <c r="F7" s="348">
        <v>0</v>
      </c>
      <c r="G7" s="348">
        <v>0</v>
      </c>
      <c r="H7" s="348">
        <v>0</v>
      </c>
      <c r="I7" s="348">
        <v>0</v>
      </c>
      <c r="J7" s="348">
        <v>0</v>
      </c>
      <c r="K7" s="348" t="s">
        <v>22</v>
      </c>
      <c r="L7" s="348" t="s">
        <v>23</v>
      </c>
      <c r="M7" s="348" t="s">
        <v>983</v>
      </c>
      <c r="N7" s="348" t="s">
        <v>975</v>
      </c>
      <c r="O7" s="348" t="s">
        <v>975</v>
      </c>
      <c r="P7" s="348" t="s">
        <v>975</v>
      </c>
      <c r="Q7" s="348" t="s">
        <v>975</v>
      </c>
      <c r="R7" s="348"/>
      <c r="S7" s="348" t="s">
        <v>975</v>
      </c>
      <c r="T7" s="348" t="s">
        <v>975</v>
      </c>
      <c r="U7" s="348" t="s">
        <v>1004</v>
      </c>
      <c r="V7" s="348" t="s">
        <v>975</v>
      </c>
      <c r="W7" s="348" t="s">
        <v>975</v>
      </c>
      <c r="X7" s="348"/>
    </row>
    <row r="8" spans="1:24" ht="14.25" x14ac:dyDescent="0.2">
      <c r="A8" s="348" t="s">
        <v>28</v>
      </c>
      <c r="B8" s="348" t="s">
        <v>1385</v>
      </c>
      <c r="C8" s="348">
        <v>1</v>
      </c>
      <c r="D8" s="348">
        <v>1</v>
      </c>
      <c r="E8" s="348">
        <v>0</v>
      </c>
      <c r="F8" s="348">
        <v>0</v>
      </c>
      <c r="G8" s="348">
        <v>0</v>
      </c>
      <c r="H8" s="348">
        <v>0</v>
      </c>
      <c r="I8" s="348">
        <v>0</v>
      </c>
      <c r="J8" s="348">
        <v>0</v>
      </c>
      <c r="K8" s="348" t="s">
        <v>22</v>
      </c>
      <c r="L8" s="348" t="s">
        <v>23</v>
      </c>
      <c r="M8" s="348" t="s">
        <v>983</v>
      </c>
      <c r="N8" s="348" t="s">
        <v>975</v>
      </c>
      <c r="O8" s="348" t="s">
        <v>975</v>
      </c>
      <c r="P8" s="348" t="s">
        <v>975</v>
      </c>
      <c r="Q8" s="348" t="s">
        <v>975</v>
      </c>
      <c r="R8" s="348"/>
      <c r="S8" s="348" t="s">
        <v>975</v>
      </c>
      <c r="T8" s="348" t="s">
        <v>975</v>
      </c>
      <c r="U8" s="348" t="s">
        <v>1004</v>
      </c>
      <c r="V8" s="348" t="s">
        <v>975</v>
      </c>
      <c r="W8" s="348" t="s">
        <v>975</v>
      </c>
      <c r="X8" s="348"/>
    </row>
    <row r="9" spans="1:24" ht="14.25" x14ac:dyDescent="0.2">
      <c r="A9" s="348" t="s">
        <v>29</v>
      </c>
      <c r="B9" s="348" t="s">
        <v>1386</v>
      </c>
      <c r="C9" s="348">
        <v>1</v>
      </c>
      <c r="D9" s="348">
        <v>1</v>
      </c>
      <c r="E9" s="348">
        <v>0</v>
      </c>
      <c r="F9" s="348">
        <v>0</v>
      </c>
      <c r="G9" s="348">
        <v>0</v>
      </c>
      <c r="H9" s="348">
        <v>0</v>
      </c>
      <c r="I9" s="348">
        <v>0</v>
      </c>
      <c r="J9" s="348">
        <v>0</v>
      </c>
      <c r="K9" s="348" t="s">
        <v>22</v>
      </c>
      <c r="L9" s="348" t="s">
        <v>23</v>
      </c>
      <c r="M9" s="348" t="s">
        <v>983</v>
      </c>
      <c r="N9" s="348" t="s">
        <v>975</v>
      </c>
      <c r="O9" s="348" t="s">
        <v>975</v>
      </c>
      <c r="P9" s="348" t="s">
        <v>975</v>
      </c>
      <c r="Q9" s="348" t="s">
        <v>975</v>
      </c>
      <c r="R9" s="348"/>
      <c r="S9" s="348" t="s">
        <v>975</v>
      </c>
      <c r="T9" s="348" t="s">
        <v>975</v>
      </c>
      <c r="U9" s="348" t="s">
        <v>1004</v>
      </c>
      <c r="V9" s="348" t="s">
        <v>975</v>
      </c>
      <c r="W9" s="348" t="s">
        <v>975</v>
      </c>
      <c r="X9" s="348"/>
    </row>
    <row r="10" spans="1:24" ht="14.25" x14ac:dyDescent="0.2">
      <c r="A10" s="348" t="s">
        <v>30</v>
      </c>
      <c r="B10" s="348" t="s">
        <v>31</v>
      </c>
      <c r="C10" s="348">
        <v>1</v>
      </c>
      <c r="D10" s="348">
        <v>1</v>
      </c>
      <c r="E10" s="348">
        <v>1</v>
      </c>
      <c r="F10" s="348">
        <v>1</v>
      </c>
      <c r="G10" s="348">
        <v>1</v>
      </c>
      <c r="H10" s="348">
        <v>1</v>
      </c>
      <c r="I10" s="348">
        <v>1</v>
      </c>
      <c r="J10" s="348">
        <v>1</v>
      </c>
      <c r="K10" s="348" t="s">
        <v>22</v>
      </c>
      <c r="L10" s="348" t="s">
        <v>23</v>
      </c>
      <c r="M10" s="348" t="s">
        <v>975</v>
      </c>
      <c r="N10" s="348" t="s">
        <v>975</v>
      </c>
      <c r="O10" s="348" t="s">
        <v>975</v>
      </c>
      <c r="P10" s="348" t="s">
        <v>975</v>
      </c>
      <c r="Q10" s="348" t="s">
        <v>975</v>
      </c>
      <c r="R10" s="348"/>
      <c r="S10" s="348" t="s">
        <v>975</v>
      </c>
      <c r="T10" s="348" t="s">
        <v>975</v>
      </c>
      <c r="U10" s="348" t="s">
        <v>1004</v>
      </c>
      <c r="V10" s="348" t="s">
        <v>975</v>
      </c>
      <c r="W10" s="348" t="s">
        <v>975</v>
      </c>
      <c r="X10" s="348"/>
    </row>
    <row r="11" spans="1:24" ht="57" x14ac:dyDescent="0.2">
      <c r="A11" s="348" t="s">
        <v>32</v>
      </c>
      <c r="B11" s="348" t="s">
        <v>33</v>
      </c>
      <c r="C11" s="348">
        <v>1</v>
      </c>
      <c r="D11" s="348">
        <v>0</v>
      </c>
      <c r="E11" s="348">
        <v>0</v>
      </c>
      <c r="F11" s="348">
        <v>0</v>
      </c>
      <c r="G11" s="348">
        <v>0</v>
      </c>
      <c r="H11" s="348">
        <v>0</v>
      </c>
      <c r="I11" s="348">
        <v>0</v>
      </c>
      <c r="J11" s="348">
        <v>1</v>
      </c>
      <c r="K11" s="348" t="s">
        <v>22</v>
      </c>
      <c r="L11" s="348" t="s">
        <v>23</v>
      </c>
      <c r="M11" s="348" t="s">
        <v>983</v>
      </c>
      <c r="N11" s="348" t="s">
        <v>975</v>
      </c>
      <c r="O11" s="348" t="s">
        <v>975</v>
      </c>
      <c r="P11" s="348" t="s">
        <v>975</v>
      </c>
      <c r="Q11" s="348" t="s">
        <v>975</v>
      </c>
      <c r="R11" s="348"/>
      <c r="S11" s="348" t="s">
        <v>1217</v>
      </c>
      <c r="T11" s="348" t="s">
        <v>34</v>
      </c>
      <c r="U11" s="348" t="s">
        <v>1004</v>
      </c>
      <c r="V11" s="348" t="s">
        <v>975</v>
      </c>
      <c r="W11" s="348" t="s">
        <v>975</v>
      </c>
      <c r="X11" s="348"/>
    </row>
    <row r="12" spans="1:24" ht="242.25" x14ac:dyDescent="0.2">
      <c r="A12" s="361" t="s">
        <v>35</v>
      </c>
      <c r="B12" s="361" t="s">
        <v>1055</v>
      </c>
      <c r="C12" s="348">
        <v>1</v>
      </c>
      <c r="D12" s="348">
        <v>0</v>
      </c>
      <c r="E12" s="348">
        <v>0</v>
      </c>
      <c r="F12" s="348">
        <v>0</v>
      </c>
      <c r="G12" s="348">
        <v>0</v>
      </c>
      <c r="H12" s="348">
        <v>0</v>
      </c>
      <c r="I12" s="348">
        <v>0</v>
      </c>
      <c r="J12" s="348">
        <v>1</v>
      </c>
      <c r="K12" s="348"/>
      <c r="L12" s="348" t="s">
        <v>38</v>
      </c>
      <c r="M12" s="348" t="s">
        <v>983</v>
      </c>
      <c r="N12" s="348" t="s">
        <v>975</v>
      </c>
      <c r="O12" s="348" t="s">
        <v>975</v>
      </c>
      <c r="P12" s="348" t="s">
        <v>1056</v>
      </c>
      <c r="Q12" s="348" t="s">
        <v>1057</v>
      </c>
      <c r="R12" s="348"/>
      <c r="S12" s="348" t="s">
        <v>1218</v>
      </c>
      <c r="T12" s="348" t="s">
        <v>1219</v>
      </c>
      <c r="U12" s="348" t="s">
        <v>40</v>
      </c>
      <c r="V12" s="348" t="s">
        <v>983</v>
      </c>
      <c r="W12" s="348" t="s">
        <v>75</v>
      </c>
      <c r="X12" s="348">
        <f t="shared" ref="X12:X75" si="0">IF($W12="Critical Importance",20,IF($W12="Minor Importance",5,10))</f>
        <v>10</v>
      </c>
    </row>
    <row r="13" spans="1:24" ht="114" x14ac:dyDescent="0.2">
      <c r="A13" s="348" t="s">
        <v>42</v>
      </c>
      <c r="B13" s="348" t="s">
        <v>36</v>
      </c>
      <c r="C13" s="348">
        <v>1</v>
      </c>
      <c r="D13" s="348">
        <v>0</v>
      </c>
      <c r="E13" s="348">
        <v>0</v>
      </c>
      <c r="F13" s="348">
        <v>0</v>
      </c>
      <c r="G13" s="348">
        <v>0</v>
      </c>
      <c r="H13" s="348">
        <v>0</v>
      </c>
      <c r="I13" s="348">
        <v>0</v>
      </c>
      <c r="J13" s="348">
        <v>1</v>
      </c>
      <c r="K13" s="348"/>
      <c r="L13" s="348" t="s">
        <v>1004</v>
      </c>
      <c r="M13" s="348" t="s">
        <v>983</v>
      </c>
      <c r="N13" s="348" t="s">
        <v>975</v>
      </c>
      <c r="O13" s="348" t="s">
        <v>39</v>
      </c>
      <c r="P13" s="348" t="s">
        <v>39</v>
      </c>
      <c r="Q13" s="348" t="s">
        <v>39</v>
      </c>
      <c r="R13" s="348"/>
      <c r="S13" s="348" t="s">
        <v>1411</v>
      </c>
      <c r="T13" s="348" t="s">
        <v>1220</v>
      </c>
      <c r="U13" s="348" t="s">
        <v>1004</v>
      </c>
      <c r="V13" s="348" t="s">
        <v>983</v>
      </c>
      <c r="W13" s="348"/>
      <c r="X13" s="348"/>
    </row>
    <row r="14" spans="1:24" ht="171" x14ac:dyDescent="0.2">
      <c r="A14" s="348" t="s">
        <v>44</v>
      </c>
      <c r="B14" s="348" t="s">
        <v>1157</v>
      </c>
      <c r="C14" s="348">
        <v>1</v>
      </c>
      <c r="D14" s="348">
        <v>0</v>
      </c>
      <c r="E14" s="348">
        <v>0</v>
      </c>
      <c r="F14" s="348">
        <v>0</v>
      </c>
      <c r="G14" s="348">
        <v>0</v>
      </c>
      <c r="H14" s="348">
        <v>0</v>
      </c>
      <c r="I14" s="348">
        <v>0</v>
      </c>
      <c r="J14" s="348">
        <v>1</v>
      </c>
      <c r="K14" s="348"/>
      <c r="L14" s="348" t="s">
        <v>38</v>
      </c>
      <c r="M14" s="348" t="s">
        <v>983</v>
      </c>
      <c r="N14" s="348" t="s">
        <v>975</v>
      </c>
      <c r="O14" s="348" t="s">
        <v>975</v>
      </c>
      <c r="P14" s="348" t="s">
        <v>43</v>
      </c>
      <c r="Q14" s="348" t="s">
        <v>975</v>
      </c>
      <c r="R14" s="348"/>
      <c r="S14" s="348" t="s">
        <v>1221</v>
      </c>
      <c r="T14" s="348" t="s">
        <v>1222</v>
      </c>
      <c r="U14" s="348" t="s">
        <v>40</v>
      </c>
      <c r="V14" s="348" t="s">
        <v>983</v>
      </c>
      <c r="W14" s="348" t="s">
        <v>41</v>
      </c>
      <c r="X14" s="348">
        <f t="shared" si="0"/>
        <v>5</v>
      </c>
    </row>
    <row r="15" spans="1:24" ht="228" x14ac:dyDescent="0.2">
      <c r="A15" s="348" t="s">
        <v>45</v>
      </c>
      <c r="B15" s="348" t="s">
        <v>1058</v>
      </c>
      <c r="C15" s="348">
        <v>1</v>
      </c>
      <c r="D15" s="348">
        <v>0</v>
      </c>
      <c r="E15" s="348">
        <v>0</v>
      </c>
      <c r="F15" s="348">
        <v>0</v>
      </c>
      <c r="G15" s="348">
        <v>0</v>
      </c>
      <c r="H15" s="348">
        <v>0</v>
      </c>
      <c r="I15" s="348">
        <v>0</v>
      </c>
      <c r="J15" s="348">
        <v>1</v>
      </c>
      <c r="K15" s="348"/>
      <c r="L15" s="348" t="s">
        <v>38</v>
      </c>
      <c r="M15" s="348" t="s">
        <v>983</v>
      </c>
      <c r="N15" s="348" t="s">
        <v>975</v>
      </c>
      <c r="O15" s="348" t="s">
        <v>975</v>
      </c>
      <c r="P15" s="348" t="s">
        <v>1059</v>
      </c>
      <c r="Q15" s="348" t="s">
        <v>1060</v>
      </c>
      <c r="R15" s="348"/>
      <c r="S15" s="348" t="s">
        <v>1410</v>
      </c>
      <c r="T15" s="348" t="s">
        <v>1387</v>
      </c>
      <c r="U15" s="348" t="s">
        <v>40</v>
      </c>
      <c r="V15" s="348" t="s">
        <v>983</v>
      </c>
      <c r="W15" s="348" t="s">
        <v>41</v>
      </c>
      <c r="X15" s="348">
        <f t="shared" si="0"/>
        <v>5</v>
      </c>
    </row>
    <row r="16" spans="1:24" ht="199.5" x14ac:dyDescent="0.2">
      <c r="A16" s="348" t="s">
        <v>47</v>
      </c>
      <c r="B16" s="348" t="s">
        <v>1061</v>
      </c>
      <c r="C16" s="348">
        <v>1</v>
      </c>
      <c r="D16" s="348">
        <v>0</v>
      </c>
      <c r="E16" s="348">
        <v>0</v>
      </c>
      <c r="F16" s="348">
        <v>0</v>
      </c>
      <c r="G16" s="348">
        <v>0</v>
      </c>
      <c r="H16" s="348">
        <v>0</v>
      </c>
      <c r="I16" s="348">
        <v>0</v>
      </c>
      <c r="J16" s="348">
        <v>0</v>
      </c>
      <c r="K16" s="348"/>
      <c r="L16" s="348" t="s">
        <v>23</v>
      </c>
      <c r="M16" s="348">
        <v>0</v>
      </c>
      <c r="N16" s="348"/>
      <c r="O16" s="348" t="s">
        <v>1158</v>
      </c>
      <c r="P16" s="348" t="s">
        <v>1158</v>
      </c>
      <c r="Q16" s="348" t="s">
        <v>1158</v>
      </c>
      <c r="R16" s="348"/>
      <c r="S16" s="348" t="s">
        <v>1223</v>
      </c>
      <c r="T16" s="348" t="s">
        <v>1224</v>
      </c>
      <c r="U16" s="348" t="s">
        <v>1004</v>
      </c>
      <c r="V16" s="348"/>
      <c r="W16" s="348"/>
      <c r="X16" s="348"/>
    </row>
    <row r="17" spans="1:24" ht="57" x14ac:dyDescent="0.2">
      <c r="A17" s="348" t="s">
        <v>48</v>
      </c>
      <c r="B17" s="349" t="s">
        <v>1700</v>
      </c>
      <c r="C17" s="348">
        <v>1</v>
      </c>
      <c r="D17" s="348">
        <v>0</v>
      </c>
      <c r="E17" s="348">
        <v>1</v>
      </c>
      <c r="F17" s="348">
        <v>1</v>
      </c>
      <c r="G17" s="348">
        <v>0</v>
      </c>
      <c r="H17" s="348">
        <v>0</v>
      </c>
      <c r="I17" s="348">
        <v>0</v>
      </c>
      <c r="J17" s="348">
        <v>0</v>
      </c>
      <c r="K17" s="348" t="s">
        <v>22</v>
      </c>
      <c r="L17" s="348" t="s">
        <v>23</v>
      </c>
      <c r="M17" s="348" t="s">
        <v>975</v>
      </c>
      <c r="N17" s="348" t="s">
        <v>975</v>
      </c>
      <c r="O17" s="348" t="s">
        <v>1701</v>
      </c>
      <c r="P17" s="348" t="s">
        <v>49</v>
      </c>
      <c r="Q17" s="348" t="s">
        <v>50</v>
      </c>
      <c r="R17" s="348"/>
      <c r="S17" s="348" t="s">
        <v>975</v>
      </c>
      <c r="T17" s="348" t="s">
        <v>975</v>
      </c>
      <c r="U17" s="348" t="s">
        <v>1004</v>
      </c>
      <c r="V17" s="348" t="s">
        <v>975</v>
      </c>
      <c r="W17" s="348"/>
      <c r="X17" s="348"/>
    </row>
    <row r="18" spans="1:24" ht="71.25" x14ac:dyDescent="0.2">
      <c r="A18" s="348" t="s">
        <v>51</v>
      </c>
      <c r="B18" s="348" t="s">
        <v>1412</v>
      </c>
      <c r="C18" s="348">
        <v>1</v>
      </c>
      <c r="D18" s="348">
        <v>0</v>
      </c>
      <c r="E18" s="348">
        <v>0</v>
      </c>
      <c r="F18" s="348">
        <v>0</v>
      </c>
      <c r="G18" s="348">
        <v>1</v>
      </c>
      <c r="H18" s="348">
        <v>0</v>
      </c>
      <c r="I18" s="348">
        <v>0</v>
      </c>
      <c r="J18" s="348">
        <v>0</v>
      </c>
      <c r="K18" s="348" t="s">
        <v>22</v>
      </c>
      <c r="L18" s="348" t="s">
        <v>23</v>
      </c>
      <c r="M18" s="348" t="s">
        <v>975</v>
      </c>
      <c r="N18" s="348" t="s">
        <v>975</v>
      </c>
      <c r="O18" s="348" t="s">
        <v>1401</v>
      </c>
      <c r="P18" s="348" t="s">
        <v>52</v>
      </c>
      <c r="Q18" s="348" t="s">
        <v>53</v>
      </c>
      <c r="R18" s="348"/>
      <c r="S18" s="348" t="s">
        <v>975</v>
      </c>
      <c r="T18" s="348" t="s">
        <v>975</v>
      </c>
      <c r="U18" s="348" t="s">
        <v>1004</v>
      </c>
      <c r="V18" s="348" t="s">
        <v>975</v>
      </c>
      <c r="W18" s="348"/>
      <c r="X18" s="348"/>
    </row>
    <row r="19" spans="1:24" ht="42.75" x14ac:dyDescent="0.2">
      <c r="A19" s="348" t="s">
        <v>54</v>
      </c>
      <c r="B19" s="348" t="s">
        <v>55</v>
      </c>
      <c r="C19" s="348">
        <v>1</v>
      </c>
      <c r="D19" s="348">
        <v>0</v>
      </c>
      <c r="E19" s="348">
        <v>0</v>
      </c>
      <c r="F19" s="348">
        <v>0</v>
      </c>
      <c r="G19" s="348">
        <v>0</v>
      </c>
      <c r="H19" s="348">
        <v>1</v>
      </c>
      <c r="I19" s="348">
        <v>0</v>
      </c>
      <c r="J19" s="348">
        <v>0</v>
      </c>
      <c r="K19" s="348" t="s">
        <v>22</v>
      </c>
      <c r="L19" s="348" t="s">
        <v>23</v>
      </c>
      <c r="M19" s="348" t="s">
        <v>975</v>
      </c>
      <c r="N19" s="348" t="s">
        <v>975</v>
      </c>
      <c r="O19" s="348" t="s">
        <v>975</v>
      </c>
      <c r="P19" s="348" t="s">
        <v>56</v>
      </c>
      <c r="Q19" s="348" t="s">
        <v>57</v>
      </c>
      <c r="R19" s="348"/>
      <c r="S19" s="348" t="s">
        <v>975</v>
      </c>
      <c r="T19" s="348" t="s">
        <v>975</v>
      </c>
      <c r="U19" s="348" t="s">
        <v>1004</v>
      </c>
      <c r="V19" s="348" t="s">
        <v>975</v>
      </c>
      <c r="W19" s="348"/>
      <c r="X19" s="348"/>
    </row>
    <row r="20" spans="1:24" ht="42.75" x14ac:dyDescent="0.2">
      <c r="A20" s="348" t="s">
        <v>58</v>
      </c>
      <c r="B20" s="348" t="s">
        <v>1159</v>
      </c>
      <c r="C20" s="348">
        <v>1</v>
      </c>
      <c r="D20" s="348">
        <v>0</v>
      </c>
      <c r="E20" s="348">
        <v>0</v>
      </c>
      <c r="F20" s="348">
        <v>0</v>
      </c>
      <c r="G20" s="348">
        <v>0</v>
      </c>
      <c r="H20" s="348">
        <v>0</v>
      </c>
      <c r="I20" s="348">
        <v>1</v>
      </c>
      <c r="J20" s="348">
        <v>1</v>
      </c>
      <c r="K20" s="348" t="s">
        <v>22</v>
      </c>
      <c r="L20" s="348" t="s">
        <v>23</v>
      </c>
      <c r="M20" s="348" t="s">
        <v>975</v>
      </c>
      <c r="N20" s="348" t="s">
        <v>975</v>
      </c>
      <c r="O20" s="348" t="s">
        <v>975</v>
      </c>
      <c r="P20" s="348" t="s">
        <v>59</v>
      </c>
      <c r="Q20" s="348" t="s">
        <v>60</v>
      </c>
      <c r="R20" s="348"/>
      <c r="S20" s="348" t="s">
        <v>975</v>
      </c>
      <c r="T20" s="348" t="s">
        <v>975</v>
      </c>
      <c r="U20" s="348" t="s">
        <v>1004</v>
      </c>
      <c r="V20" s="348" t="s">
        <v>975</v>
      </c>
      <c r="W20" s="348"/>
      <c r="X20" s="348"/>
    </row>
    <row r="21" spans="1:24" ht="71.25" x14ac:dyDescent="0.2">
      <c r="A21" s="348" t="s">
        <v>61</v>
      </c>
      <c r="B21" s="348" t="s">
        <v>1160</v>
      </c>
      <c r="C21" s="348">
        <v>1</v>
      </c>
      <c r="D21" s="348">
        <v>0</v>
      </c>
      <c r="E21" s="348">
        <v>0</v>
      </c>
      <c r="F21" s="348">
        <v>0</v>
      </c>
      <c r="G21" s="348">
        <v>0</v>
      </c>
      <c r="H21" s="348">
        <v>1</v>
      </c>
      <c r="I21" s="348">
        <v>0</v>
      </c>
      <c r="J21" s="348">
        <v>1</v>
      </c>
      <c r="K21" s="348" t="s">
        <v>22</v>
      </c>
      <c r="L21" s="348" t="s">
        <v>23</v>
      </c>
      <c r="M21" s="348" t="s">
        <v>983</v>
      </c>
      <c r="N21" s="348" t="s">
        <v>975</v>
      </c>
      <c r="O21" s="348" t="s">
        <v>1161</v>
      </c>
      <c r="P21" s="348" t="s">
        <v>62</v>
      </c>
      <c r="Q21" s="348" t="s">
        <v>63</v>
      </c>
      <c r="R21" s="348"/>
      <c r="S21" s="348"/>
      <c r="T21" s="348"/>
      <c r="U21" s="348" t="s">
        <v>1004</v>
      </c>
      <c r="V21" s="348"/>
      <c r="W21" s="348"/>
      <c r="X21" s="348"/>
    </row>
    <row r="22" spans="1:24" ht="71.25" x14ac:dyDescent="0.2">
      <c r="A22" s="348" t="s">
        <v>64</v>
      </c>
      <c r="B22" s="348" t="s">
        <v>1413</v>
      </c>
      <c r="C22" s="348">
        <v>1</v>
      </c>
      <c r="D22" s="348">
        <v>0</v>
      </c>
      <c r="E22" s="348">
        <v>0</v>
      </c>
      <c r="F22" s="348">
        <v>0</v>
      </c>
      <c r="G22" s="348">
        <v>0</v>
      </c>
      <c r="H22" s="348">
        <v>1</v>
      </c>
      <c r="I22" s="348">
        <v>0</v>
      </c>
      <c r="J22" s="348">
        <v>1</v>
      </c>
      <c r="K22" s="348" t="s">
        <v>22</v>
      </c>
      <c r="L22" s="348" t="s">
        <v>23</v>
      </c>
      <c r="M22" s="348" t="s">
        <v>983</v>
      </c>
      <c r="N22" s="348" t="s">
        <v>975</v>
      </c>
      <c r="O22" s="348" t="s">
        <v>1162</v>
      </c>
      <c r="P22" s="348" t="s">
        <v>65</v>
      </c>
      <c r="Q22" s="348" t="s">
        <v>66</v>
      </c>
      <c r="R22" s="348"/>
      <c r="S22" s="348"/>
      <c r="T22" s="348"/>
      <c r="U22" s="348" t="s">
        <v>1004</v>
      </c>
      <c r="V22" s="348"/>
      <c r="W22" s="348"/>
      <c r="X22" s="348"/>
    </row>
    <row r="23" spans="1:24" ht="93.75" customHeight="1" x14ac:dyDescent="0.2">
      <c r="A23" s="348" t="s">
        <v>67</v>
      </c>
      <c r="B23" s="348" t="s">
        <v>1163</v>
      </c>
      <c r="C23" s="348">
        <v>1</v>
      </c>
      <c r="D23" s="348">
        <v>0</v>
      </c>
      <c r="E23" s="348">
        <v>0</v>
      </c>
      <c r="F23" s="348">
        <v>0</v>
      </c>
      <c r="G23" s="348">
        <v>0</v>
      </c>
      <c r="H23" s="348">
        <v>1</v>
      </c>
      <c r="I23" s="348">
        <v>0</v>
      </c>
      <c r="J23" s="348">
        <v>0</v>
      </c>
      <c r="K23" s="348" t="s">
        <v>22</v>
      </c>
      <c r="L23" s="348" t="s">
        <v>23</v>
      </c>
      <c r="M23" s="348" t="s">
        <v>975</v>
      </c>
      <c r="N23" s="348" t="s">
        <v>975</v>
      </c>
      <c r="O23" s="348" t="s">
        <v>975</v>
      </c>
      <c r="P23" s="348" t="s">
        <v>68</v>
      </c>
      <c r="Q23" s="348" t="s">
        <v>69</v>
      </c>
      <c r="R23" s="348"/>
      <c r="S23" s="348" t="s">
        <v>975</v>
      </c>
      <c r="T23" s="348" t="s">
        <v>975</v>
      </c>
      <c r="U23" s="348" t="s">
        <v>1004</v>
      </c>
      <c r="V23" s="348" t="s">
        <v>975</v>
      </c>
      <c r="W23" s="348"/>
      <c r="X23" s="348"/>
    </row>
    <row r="24" spans="1:24" ht="81.75" customHeight="1" x14ac:dyDescent="0.2">
      <c r="A24" s="348" t="s">
        <v>968</v>
      </c>
      <c r="B24" s="348" t="s">
        <v>1466</v>
      </c>
      <c r="C24" s="348">
        <v>1</v>
      </c>
      <c r="D24" s="348">
        <v>0</v>
      </c>
      <c r="E24" s="348">
        <v>0</v>
      </c>
      <c r="F24" s="348">
        <v>0</v>
      </c>
      <c r="G24" s="348">
        <v>0</v>
      </c>
      <c r="H24" s="348">
        <v>0</v>
      </c>
      <c r="I24" s="348">
        <v>0</v>
      </c>
      <c r="J24" s="348">
        <v>1</v>
      </c>
      <c r="K24" s="348" t="s">
        <v>22</v>
      </c>
      <c r="L24" s="348" t="s">
        <v>23</v>
      </c>
      <c r="M24" s="348"/>
      <c r="N24" s="348"/>
      <c r="O24" s="348" t="s">
        <v>969</v>
      </c>
      <c r="P24" s="225" t="s">
        <v>970</v>
      </c>
      <c r="Q24" s="225" t="s">
        <v>971</v>
      </c>
      <c r="R24" s="225"/>
      <c r="S24" s="348"/>
      <c r="T24" s="348"/>
      <c r="U24" s="348" t="s">
        <v>1004</v>
      </c>
      <c r="V24" s="348"/>
      <c r="W24" s="348"/>
      <c r="X24" s="348"/>
    </row>
    <row r="25" spans="1:24" ht="171" x14ac:dyDescent="0.2">
      <c r="A25" s="361" t="s">
        <v>70</v>
      </c>
      <c r="B25" s="361" t="s">
        <v>1414</v>
      </c>
      <c r="C25" s="348">
        <v>0</v>
      </c>
      <c r="D25" s="348">
        <v>1</v>
      </c>
      <c r="E25" s="348">
        <v>0</v>
      </c>
      <c r="F25" s="348">
        <v>0</v>
      </c>
      <c r="G25" s="348">
        <v>0</v>
      </c>
      <c r="H25" s="348">
        <v>0</v>
      </c>
      <c r="I25" s="348">
        <v>0</v>
      </c>
      <c r="J25" s="348">
        <v>1</v>
      </c>
      <c r="K25" s="348"/>
      <c r="L25" s="348" t="s">
        <v>131</v>
      </c>
      <c r="M25" s="348" t="s">
        <v>975</v>
      </c>
      <c r="N25" s="348" t="s">
        <v>975</v>
      </c>
      <c r="O25" s="348" t="s">
        <v>975</v>
      </c>
      <c r="P25" s="348" t="s">
        <v>975</v>
      </c>
      <c r="Q25" s="348" t="s">
        <v>975</v>
      </c>
      <c r="R25" s="348"/>
      <c r="S25" s="348" t="s">
        <v>1869</v>
      </c>
      <c r="T25" s="348" t="s">
        <v>975</v>
      </c>
      <c r="U25" s="348" t="s">
        <v>40</v>
      </c>
      <c r="V25" s="348" t="s">
        <v>975</v>
      </c>
      <c r="W25" s="348" t="s">
        <v>46</v>
      </c>
      <c r="X25" s="348">
        <f t="shared" si="0"/>
        <v>20</v>
      </c>
    </row>
    <row r="26" spans="1:24" ht="171" x14ac:dyDescent="0.2">
      <c r="A26" s="361" t="s">
        <v>76</v>
      </c>
      <c r="B26" s="361" t="s">
        <v>1062</v>
      </c>
      <c r="C26" s="348">
        <v>0</v>
      </c>
      <c r="D26" s="348">
        <v>1</v>
      </c>
      <c r="E26" s="348">
        <v>0</v>
      </c>
      <c r="F26" s="348">
        <v>0</v>
      </c>
      <c r="G26" s="348">
        <v>0</v>
      </c>
      <c r="H26" s="348">
        <v>0</v>
      </c>
      <c r="I26" s="348">
        <v>0</v>
      </c>
      <c r="J26" s="348">
        <v>1</v>
      </c>
      <c r="K26" s="348"/>
      <c r="L26" s="348" t="s">
        <v>131</v>
      </c>
      <c r="M26" s="348" t="s">
        <v>975</v>
      </c>
      <c r="N26" s="348" t="s">
        <v>975</v>
      </c>
      <c r="O26" s="348" t="s">
        <v>975</v>
      </c>
      <c r="P26" s="348" t="s">
        <v>975</v>
      </c>
      <c r="Q26" s="348" t="s">
        <v>975</v>
      </c>
      <c r="R26" s="348"/>
      <c r="S26" s="348" t="s">
        <v>1870</v>
      </c>
      <c r="T26" s="348" t="s">
        <v>975</v>
      </c>
      <c r="U26" s="348" t="s">
        <v>40</v>
      </c>
      <c r="V26" s="348" t="s">
        <v>975</v>
      </c>
      <c r="W26" s="348" t="s">
        <v>46</v>
      </c>
      <c r="X26" s="348">
        <f t="shared" si="0"/>
        <v>20</v>
      </c>
    </row>
    <row r="27" spans="1:24" ht="128.25" x14ac:dyDescent="0.2">
      <c r="A27" s="348" t="s">
        <v>77</v>
      </c>
      <c r="B27" s="348" t="s">
        <v>71</v>
      </c>
      <c r="C27" s="348">
        <v>0</v>
      </c>
      <c r="D27" s="348">
        <v>1</v>
      </c>
      <c r="E27" s="348">
        <v>0</v>
      </c>
      <c r="F27" s="348">
        <v>0</v>
      </c>
      <c r="G27" s="348">
        <v>0</v>
      </c>
      <c r="H27" s="348">
        <v>0</v>
      </c>
      <c r="I27" s="348">
        <v>0</v>
      </c>
      <c r="J27" s="348">
        <v>1</v>
      </c>
      <c r="K27" s="348"/>
      <c r="L27" s="348" t="s">
        <v>131</v>
      </c>
      <c r="M27" s="348" t="s">
        <v>72</v>
      </c>
      <c r="N27" s="348" t="s">
        <v>975</v>
      </c>
      <c r="O27" s="348" t="s">
        <v>975</v>
      </c>
      <c r="P27" s="348" t="s">
        <v>73</v>
      </c>
      <c r="Q27" s="348" t="s">
        <v>1063</v>
      </c>
      <c r="R27" s="348"/>
      <c r="S27" s="348" t="s">
        <v>1415</v>
      </c>
      <c r="T27" s="348" t="s">
        <v>74</v>
      </c>
      <c r="U27" s="348" t="s">
        <v>40</v>
      </c>
      <c r="V27" s="348" t="s">
        <v>983</v>
      </c>
      <c r="W27" s="348" t="s">
        <v>75</v>
      </c>
      <c r="X27" s="348">
        <f t="shared" si="0"/>
        <v>10</v>
      </c>
    </row>
    <row r="28" spans="1:24" ht="242.25" x14ac:dyDescent="0.2">
      <c r="A28" s="348" t="s">
        <v>80</v>
      </c>
      <c r="B28" s="348" t="s">
        <v>1064</v>
      </c>
      <c r="C28" s="348">
        <v>0</v>
      </c>
      <c r="D28" s="348">
        <v>1</v>
      </c>
      <c r="E28" s="348">
        <v>0</v>
      </c>
      <c r="F28" s="348">
        <v>0</v>
      </c>
      <c r="G28" s="348">
        <v>0</v>
      </c>
      <c r="H28" s="348">
        <v>0</v>
      </c>
      <c r="I28" s="348">
        <v>0</v>
      </c>
      <c r="J28" s="348">
        <v>1</v>
      </c>
      <c r="K28" s="348"/>
      <c r="L28" s="348" t="s">
        <v>131</v>
      </c>
      <c r="M28" s="348" t="s">
        <v>72</v>
      </c>
      <c r="N28" s="348" t="s">
        <v>975</v>
      </c>
      <c r="O28" s="348" t="s">
        <v>975</v>
      </c>
      <c r="P28" s="348" t="s">
        <v>78</v>
      </c>
      <c r="Q28" s="348" t="s">
        <v>79</v>
      </c>
      <c r="R28" s="348"/>
      <c r="S28" s="348" t="s">
        <v>1225</v>
      </c>
      <c r="T28" s="348" t="s">
        <v>1226</v>
      </c>
      <c r="U28" s="348" t="s">
        <v>40</v>
      </c>
      <c r="V28" s="348" t="s">
        <v>983</v>
      </c>
      <c r="W28" s="348" t="s">
        <v>75</v>
      </c>
      <c r="X28" s="348">
        <f t="shared" si="0"/>
        <v>10</v>
      </c>
    </row>
    <row r="29" spans="1:24" ht="185.25" x14ac:dyDescent="0.2">
      <c r="A29" s="348" t="s">
        <v>84</v>
      </c>
      <c r="B29" s="348" t="s">
        <v>81</v>
      </c>
      <c r="C29" s="348">
        <v>0</v>
      </c>
      <c r="D29" s="348">
        <v>1</v>
      </c>
      <c r="E29" s="348">
        <v>0</v>
      </c>
      <c r="F29" s="348">
        <v>0</v>
      </c>
      <c r="G29" s="348">
        <v>0</v>
      </c>
      <c r="H29" s="348">
        <v>0</v>
      </c>
      <c r="I29" s="348">
        <v>0</v>
      </c>
      <c r="J29" s="348">
        <v>1</v>
      </c>
      <c r="K29" s="348"/>
      <c r="L29" s="348" t="s">
        <v>131</v>
      </c>
      <c r="M29" s="348" t="s">
        <v>72</v>
      </c>
      <c r="N29" s="348" t="s">
        <v>975</v>
      </c>
      <c r="O29" s="348" t="s">
        <v>975</v>
      </c>
      <c r="P29" s="348" t="s">
        <v>82</v>
      </c>
      <c r="Q29" s="348" t="s">
        <v>83</v>
      </c>
      <c r="R29" s="348"/>
      <c r="S29" s="348" t="s">
        <v>1227</v>
      </c>
      <c r="T29" s="348" t="s">
        <v>1228</v>
      </c>
      <c r="U29" s="348" t="s">
        <v>40</v>
      </c>
      <c r="V29" s="348" t="s">
        <v>983</v>
      </c>
      <c r="W29" s="348" t="s">
        <v>75</v>
      </c>
      <c r="X29" s="348">
        <f t="shared" si="0"/>
        <v>10</v>
      </c>
    </row>
    <row r="30" spans="1:24" ht="185.25" x14ac:dyDescent="0.2">
      <c r="A30" s="348" t="s">
        <v>88</v>
      </c>
      <c r="B30" s="348" t="s">
        <v>85</v>
      </c>
      <c r="C30" s="348">
        <v>0</v>
      </c>
      <c r="D30" s="348">
        <v>1</v>
      </c>
      <c r="E30" s="348">
        <v>0</v>
      </c>
      <c r="F30" s="348">
        <v>0</v>
      </c>
      <c r="G30" s="348">
        <v>0</v>
      </c>
      <c r="H30" s="348">
        <v>0</v>
      </c>
      <c r="I30" s="348">
        <v>0</v>
      </c>
      <c r="J30" s="348">
        <v>1</v>
      </c>
      <c r="K30" s="348"/>
      <c r="L30" s="348" t="s">
        <v>131</v>
      </c>
      <c r="M30" s="348" t="s">
        <v>72</v>
      </c>
      <c r="N30" s="348" t="s">
        <v>975</v>
      </c>
      <c r="O30" s="348" t="s">
        <v>975</v>
      </c>
      <c r="P30" s="348" t="s">
        <v>86</v>
      </c>
      <c r="Q30" s="348" t="s">
        <v>87</v>
      </c>
      <c r="R30" s="348"/>
      <c r="S30" s="348" t="s">
        <v>1229</v>
      </c>
      <c r="T30" s="348" t="s">
        <v>1228</v>
      </c>
      <c r="U30" s="348" t="s">
        <v>40</v>
      </c>
      <c r="V30" s="348" t="s">
        <v>983</v>
      </c>
      <c r="W30" s="348" t="s">
        <v>75</v>
      </c>
      <c r="X30" s="348">
        <f t="shared" si="0"/>
        <v>10</v>
      </c>
    </row>
    <row r="31" spans="1:24" ht="242.25" x14ac:dyDescent="0.2">
      <c r="A31" s="348" t="s">
        <v>92</v>
      </c>
      <c r="B31" s="348" t="s">
        <v>89</v>
      </c>
      <c r="C31" s="348">
        <v>0</v>
      </c>
      <c r="D31" s="348">
        <v>1</v>
      </c>
      <c r="E31" s="348">
        <v>0</v>
      </c>
      <c r="F31" s="348">
        <v>0</v>
      </c>
      <c r="G31" s="348">
        <v>0</v>
      </c>
      <c r="H31" s="348">
        <v>0</v>
      </c>
      <c r="I31" s="348">
        <v>0</v>
      </c>
      <c r="J31" s="348">
        <v>1</v>
      </c>
      <c r="K31" s="348"/>
      <c r="L31" s="348" t="s">
        <v>131</v>
      </c>
      <c r="M31" s="348" t="s">
        <v>72</v>
      </c>
      <c r="N31" s="348" t="s">
        <v>975</v>
      </c>
      <c r="O31" s="348" t="s">
        <v>975</v>
      </c>
      <c r="P31" s="348" t="s">
        <v>90</v>
      </c>
      <c r="Q31" s="348" t="s">
        <v>91</v>
      </c>
      <c r="R31" s="348"/>
      <c r="S31" s="348" t="s">
        <v>1230</v>
      </c>
      <c r="T31" s="348" t="s">
        <v>1231</v>
      </c>
      <c r="U31" s="348" t="s">
        <v>40</v>
      </c>
      <c r="V31" s="348" t="s">
        <v>983</v>
      </c>
      <c r="W31" s="348" t="s">
        <v>75</v>
      </c>
      <c r="X31" s="348">
        <f t="shared" si="0"/>
        <v>10</v>
      </c>
    </row>
    <row r="32" spans="1:24" ht="57" x14ac:dyDescent="0.2">
      <c r="A32" s="225" t="s">
        <v>93</v>
      </c>
      <c r="B32" s="348" t="s">
        <v>1388</v>
      </c>
      <c r="C32" s="348">
        <v>0</v>
      </c>
      <c r="D32" s="348">
        <v>0</v>
      </c>
      <c r="E32" s="348">
        <v>0</v>
      </c>
      <c r="F32" s="348">
        <v>0</v>
      </c>
      <c r="G32" s="348">
        <v>1</v>
      </c>
      <c r="H32" s="348">
        <v>0</v>
      </c>
      <c r="I32" s="348">
        <v>0</v>
      </c>
      <c r="J32" s="348">
        <v>0</v>
      </c>
      <c r="K32" s="348" t="s">
        <v>22</v>
      </c>
      <c r="L32" s="348" t="s">
        <v>23</v>
      </c>
      <c r="M32" s="348" t="s">
        <v>983</v>
      </c>
      <c r="N32" s="348" t="s">
        <v>1232</v>
      </c>
      <c r="O32" s="348" t="s">
        <v>975</v>
      </c>
      <c r="P32" s="348" t="s">
        <v>975</v>
      </c>
      <c r="Q32" s="348" t="s">
        <v>975</v>
      </c>
      <c r="R32" s="348"/>
      <c r="S32" s="348" t="s">
        <v>975</v>
      </c>
      <c r="T32" s="348" t="s">
        <v>975</v>
      </c>
      <c r="U32" s="348" t="s">
        <v>1004</v>
      </c>
      <c r="V32" s="348" t="s">
        <v>975</v>
      </c>
      <c r="W32" s="348"/>
      <c r="X32" s="348"/>
    </row>
    <row r="33" spans="1:24" ht="57" x14ac:dyDescent="0.2">
      <c r="A33" s="225" t="s">
        <v>94</v>
      </c>
      <c r="B33" s="348" t="s">
        <v>1389</v>
      </c>
      <c r="C33" s="348">
        <v>0</v>
      </c>
      <c r="D33" s="348">
        <v>0</v>
      </c>
      <c r="E33" s="348">
        <v>0</v>
      </c>
      <c r="F33" s="348">
        <v>0</v>
      </c>
      <c r="G33" s="348">
        <v>1</v>
      </c>
      <c r="H33" s="348">
        <v>0</v>
      </c>
      <c r="I33" s="348">
        <v>0</v>
      </c>
      <c r="J33" s="348">
        <v>0</v>
      </c>
      <c r="K33" s="348" t="s">
        <v>22</v>
      </c>
      <c r="L33" s="348" t="s">
        <v>23</v>
      </c>
      <c r="M33" s="348" t="s">
        <v>983</v>
      </c>
      <c r="N33" s="348" t="s">
        <v>1232</v>
      </c>
      <c r="O33" s="348" t="s">
        <v>975</v>
      </c>
      <c r="P33" s="348" t="s">
        <v>975</v>
      </c>
      <c r="Q33" s="348" t="s">
        <v>975</v>
      </c>
      <c r="R33" s="348"/>
      <c r="S33" s="348" t="s">
        <v>975</v>
      </c>
      <c r="T33" s="348" t="s">
        <v>975</v>
      </c>
      <c r="U33" s="348" t="s">
        <v>1004</v>
      </c>
      <c r="V33" s="348" t="s">
        <v>975</v>
      </c>
      <c r="W33" s="348"/>
      <c r="X33" s="348"/>
    </row>
    <row r="34" spans="1:24" ht="57" x14ac:dyDescent="0.2">
      <c r="A34" s="225" t="s">
        <v>95</v>
      </c>
      <c r="B34" s="348" t="s">
        <v>1390</v>
      </c>
      <c r="C34" s="348">
        <v>0</v>
      </c>
      <c r="D34" s="348">
        <v>0</v>
      </c>
      <c r="E34" s="348">
        <v>0</v>
      </c>
      <c r="F34" s="348">
        <v>0</v>
      </c>
      <c r="G34" s="348">
        <v>1</v>
      </c>
      <c r="H34" s="348">
        <v>0</v>
      </c>
      <c r="I34" s="348">
        <v>0</v>
      </c>
      <c r="J34" s="348">
        <v>0</v>
      </c>
      <c r="K34" s="348" t="s">
        <v>22</v>
      </c>
      <c r="L34" s="348" t="s">
        <v>23</v>
      </c>
      <c r="M34" s="348" t="s">
        <v>983</v>
      </c>
      <c r="N34" s="348" t="s">
        <v>1232</v>
      </c>
      <c r="O34" s="348" t="s">
        <v>975</v>
      </c>
      <c r="P34" s="348" t="s">
        <v>975</v>
      </c>
      <c r="Q34" s="348" t="s">
        <v>975</v>
      </c>
      <c r="R34" s="348"/>
      <c r="S34" s="348" t="s">
        <v>975</v>
      </c>
      <c r="T34" s="348" t="s">
        <v>975</v>
      </c>
      <c r="U34" s="348" t="s">
        <v>1004</v>
      </c>
      <c r="V34" s="348" t="s">
        <v>975</v>
      </c>
      <c r="W34" s="348"/>
      <c r="X34" s="348"/>
    </row>
    <row r="35" spans="1:24" ht="57" x14ac:dyDescent="0.2">
      <c r="A35" s="225" t="s">
        <v>96</v>
      </c>
      <c r="B35" s="348" t="s">
        <v>1391</v>
      </c>
      <c r="C35" s="348">
        <v>0</v>
      </c>
      <c r="D35" s="348">
        <v>0</v>
      </c>
      <c r="E35" s="348">
        <v>0</v>
      </c>
      <c r="F35" s="348">
        <v>0</v>
      </c>
      <c r="G35" s="348">
        <v>1</v>
      </c>
      <c r="H35" s="348">
        <v>0</v>
      </c>
      <c r="I35" s="348">
        <v>0</v>
      </c>
      <c r="J35" s="348">
        <v>0</v>
      </c>
      <c r="K35" s="348" t="s">
        <v>22</v>
      </c>
      <c r="L35" s="348" t="s">
        <v>23</v>
      </c>
      <c r="M35" s="348" t="s">
        <v>983</v>
      </c>
      <c r="N35" s="348" t="s">
        <v>1232</v>
      </c>
      <c r="O35" s="348" t="s">
        <v>975</v>
      </c>
      <c r="P35" s="348" t="s">
        <v>975</v>
      </c>
      <c r="Q35" s="348" t="s">
        <v>975</v>
      </c>
      <c r="R35" s="348"/>
      <c r="S35" s="348" t="s">
        <v>975</v>
      </c>
      <c r="T35" s="348" t="s">
        <v>975</v>
      </c>
      <c r="U35" s="348" t="s">
        <v>1004</v>
      </c>
      <c r="V35" s="348" t="s">
        <v>975</v>
      </c>
      <c r="W35" s="348"/>
      <c r="X35" s="348"/>
    </row>
    <row r="36" spans="1:24" ht="57" x14ac:dyDescent="0.2">
      <c r="A36" s="225" t="s">
        <v>97</v>
      </c>
      <c r="B36" s="348" t="s">
        <v>102</v>
      </c>
      <c r="C36" s="348">
        <v>0</v>
      </c>
      <c r="D36" s="348">
        <v>0</v>
      </c>
      <c r="E36" s="348">
        <v>0</v>
      </c>
      <c r="F36" s="348">
        <v>0</v>
      </c>
      <c r="G36" s="348">
        <v>1</v>
      </c>
      <c r="H36" s="348">
        <v>0</v>
      </c>
      <c r="I36" s="348">
        <v>0</v>
      </c>
      <c r="J36" s="348">
        <v>0</v>
      </c>
      <c r="K36" s="348"/>
      <c r="L36" s="348" t="s">
        <v>23</v>
      </c>
      <c r="M36" s="348" t="s">
        <v>983</v>
      </c>
      <c r="N36" s="348" t="s">
        <v>1232</v>
      </c>
      <c r="O36" s="348" t="s">
        <v>1028</v>
      </c>
      <c r="P36" s="348" t="s">
        <v>1028</v>
      </c>
      <c r="Q36" s="348" t="s">
        <v>1028</v>
      </c>
      <c r="R36" s="348"/>
      <c r="S36" s="348" t="s">
        <v>975</v>
      </c>
      <c r="T36" s="348" t="s">
        <v>975</v>
      </c>
      <c r="U36" s="348" t="s">
        <v>1004</v>
      </c>
      <c r="V36" s="348" t="s">
        <v>975</v>
      </c>
      <c r="W36" s="348"/>
      <c r="X36" s="348"/>
    </row>
    <row r="37" spans="1:24" ht="285" x14ac:dyDescent="0.2">
      <c r="A37" s="362" t="s">
        <v>101</v>
      </c>
      <c r="B37" s="361" t="s">
        <v>1416</v>
      </c>
      <c r="C37" s="348">
        <v>0</v>
      </c>
      <c r="D37" s="348">
        <v>0</v>
      </c>
      <c r="E37" s="348">
        <v>0</v>
      </c>
      <c r="F37" s="348">
        <v>0</v>
      </c>
      <c r="G37" s="348">
        <v>1</v>
      </c>
      <c r="H37" s="348">
        <v>0</v>
      </c>
      <c r="I37" s="348">
        <v>0</v>
      </c>
      <c r="J37" s="348">
        <v>1</v>
      </c>
      <c r="K37" s="348"/>
      <c r="L37" s="348" t="s">
        <v>98</v>
      </c>
      <c r="M37" s="348" t="s">
        <v>72</v>
      </c>
      <c r="N37" s="348" t="s">
        <v>1232</v>
      </c>
      <c r="O37" s="348" t="s">
        <v>1417</v>
      </c>
      <c r="P37" s="348" t="s">
        <v>99</v>
      </c>
      <c r="Q37" s="348" t="s">
        <v>100</v>
      </c>
      <c r="R37" s="348"/>
      <c r="S37" s="348" t="s">
        <v>1233</v>
      </c>
      <c r="T37" s="348" t="s">
        <v>1418</v>
      </c>
      <c r="U37" s="348" t="s">
        <v>40</v>
      </c>
      <c r="V37" s="348" t="s">
        <v>983</v>
      </c>
      <c r="W37" s="348" t="s">
        <v>46</v>
      </c>
      <c r="X37" s="348">
        <f t="shared" si="0"/>
        <v>20</v>
      </c>
    </row>
    <row r="38" spans="1:24" ht="80.25" customHeight="1" x14ac:dyDescent="0.2">
      <c r="A38" s="362" t="s">
        <v>103</v>
      </c>
      <c r="B38" s="361" t="s">
        <v>1164</v>
      </c>
      <c r="C38" s="348">
        <v>0</v>
      </c>
      <c r="D38" s="348">
        <v>0</v>
      </c>
      <c r="E38" s="348">
        <v>0</v>
      </c>
      <c r="F38" s="348">
        <v>0</v>
      </c>
      <c r="G38" s="348">
        <v>1</v>
      </c>
      <c r="H38" s="348">
        <v>0</v>
      </c>
      <c r="I38" s="348">
        <v>0</v>
      </c>
      <c r="J38" s="348">
        <v>0</v>
      </c>
      <c r="K38" s="348"/>
      <c r="L38" s="348" t="s">
        <v>98</v>
      </c>
      <c r="M38" s="348" t="s">
        <v>975</v>
      </c>
      <c r="N38" s="348" t="s">
        <v>1232</v>
      </c>
      <c r="O38" s="348" t="s">
        <v>975</v>
      </c>
      <c r="P38" s="348" t="s">
        <v>975</v>
      </c>
      <c r="Q38" s="348" t="s">
        <v>975</v>
      </c>
      <c r="R38" s="348"/>
      <c r="S38" s="348" t="s">
        <v>1498</v>
      </c>
      <c r="T38" s="348" t="s">
        <v>975</v>
      </c>
      <c r="U38" s="348" t="s">
        <v>40</v>
      </c>
      <c r="V38" s="348" t="s">
        <v>975</v>
      </c>
      <c r="W38" s="348" t="s">
        <v>46</v>
      </c>
      <c r="X38" s="348">
        <f t="shared" si="0"/>
        <v>20</v>
      </c>
    </row>
    <row r="39" spans="1:24" ht="213.75" x14ac:dyDescent="0.2">
      <c r="A39" s="362" t="s">
        <v>106</v>
      </c>
      <c r="B39" s="361" t="s">
        <v>1165</v>
      </c>
      <c r="C39" s="348">
        <v>0</v>
      </c>
      <c r="D39" s="348">
        <v>0</v>
      </c>
      <c r="E39" s="348">
        <v>0</v>
      </c>
      <c r="F39" s="348">
        <v>0</v>
      </c>
      <c r="G39" s="348">
        <v>1</v>
      </c>
      <c r="H39" s="348">
        <v>0</v>
      </c>
      <c r="I39" s="348">
        <v>0</v>
      </c>
      <c r="J39" s="348">
        <v>0</v>
      </c>
      <c r="K39" s="348"/>
      <c r="L39" s="348" t="s">
        <v>98</v>
      </c>
      <c r="M39" s="348" t="s">
        <v>975</v>
      </c>
      <c r="N39" s="348" t="s">
        <v>1232</v>
      </c>
      <c r="O39" s="348" t="s">
        <v>1166</v>
      </c>
      <c r="P39" s="348" t="s">
        <v>1166</v>
      </c>
      <c r="Q39" s="348" t="s">
        <v>1166</v>
      </c>
      <c r="R39" s="348"/>
      <c r="S39" s="348" t="s">
        <v>1498</v>
      </c>
      <c r="T39" s="348" t="s">
        <v>975</v>
      </c>
      <c r="U39" s="348" t="s">
        <v>40</v>
      </c>
      <c r="V39" s="348" t="s">
        <v>975</v>
      </c>
      <c r="W39" s="348" t="s">
        <v>46</v>
      </c>
      <c r="X39" s="348">
        <f t="shared" si="0"/>
        <v>20</v>
      </c>
    </row>
    <row r="40" spans="1:24" ht="114" x14ac:dyDescent="0.2">
      <c r="A40" s="362" t="s">
        <v>108</v>
      </c>
      <c r="B40" s="361" t="s">
        <v>984</v>
      </c>
      <c r="C40" s="348">
        <v>0</v>
      </c>
      <c r="D40" s="348">
        <v>0</v>
      </c>
      <c r="E40" s="348">
        <v>0</v>
      </c>
      <c r="F40" s="348">
        <v>0</v>
      </c>
      <c r="G40" s="348">
        <v>1</v>
      </c>
      <c r="H40" s="348">
        <v>0</v>
      </c>
      <c r="I40" s="348">
        <v>0</v>
      </c>
      <c r="J40" s="348">
        <v>0</v>
      </c>
      <c r="K40" s="348"/>
      <c r="L40" s="348" t="s">
        <v>98</v>
      </c>
      <c r="M40" s="348" t="s">
        <v>983</v>
      </c>
      <c r="N40" s="348" t="s">
        <v>1232</v>
      </c>
      <c r="O40" s="348" t="s">
        <v>1065</v>
      </c>
      <c r="P40" s="348" t="s">
        <v>121</v>
      </c>
      <c r="Q40" s="348" t="s">
        <v>122</v>
      </c>
      <c r="R40" s="348"/>
      <c r="S40" s="348" t="s">
        <v>975</v>
      </c>
      <c r="T40" s="348" t="s">
        <v>1066</v>
      </c>
      <c r="U40" s="348" t="s">
        <v>40</v>
      </c>
      <c r="V40" s="348" t="s">
        <v>983</v>
      </c>
      <c r="W40" s="348" t="s">
        <v>46</v>
      </c>
      <c r="X40" s="348">
        <f t="shared" si="0"/>
        <v>20</v>
      </c>
    </row>
    <row r="41" spans="1:24" ht="242.25" x14ac:dyDescent="0.2">
      <c r="A41" s="225" t="s">
        <v>111</v>
      </c>
      <c r="B41" s="348" t="s">
        <v>1167</v>
      </c>
      <c r="C41" s="348">
        <v>0</v>
      </c>
      <c r="D41" s="348">
        <v>0</v>
      </c>
      <c r="E41" s="348">
        <v>0</v>
      </c>
      <c r="F41" s="348">
        <v>0</v>
      </c>
      <c r="G41" s="348">
        <v>1</v>
      </c>
      <c r="H41" s="348">
        <v>0</v>
      </c>
      <c r="I41" s="348">
        <v>0</v>
      </c>
      <c r="J41" s="348">
        <v>1</v>
      </c>
      <c r="K41" s="348"/>
      <c r="L41" s="348" t="s">
        <v>98</v>
      </c>
      <c r="M41" s="348" t="s">
        <v>72</v>
      </c>
      <c r="N41" s="348" t="s">
        <v>1232</v>
      </c>
      <c r="O41" s="348" t="s">
        <v>1067</v>
      </c>
      <c r="P41" s="348" t="s">
        <v>104</v>
      </c>
      <c r="Q41" s="348" t="s">
        <v>105</v>
      </c>
      <c r="R41" s="348"/>
      <c r="S41" s="348" t="s">
        <v>1168</v>
      </c>
      <c r="T41" s="348" t="s">
        <v>1419</v>
      </c>
      <c r="U41" s="348" t="s">
        <v>40</v>
      </c>
      <c r="V41" s="348" t="s">
        <v>983</v>
      </c>
      <c r="W41" s="348" t="s">
        <v>75</v>
      </c>
      <c r="X41" s="348">
        <f t="shared" si="0"/>
        <v>10</v>
      </c>
    </row>
    <row r="42" spans="1:24" ht="185.25" x14ac:dyDescent="0.2">
      <c r="A42" s="225" t="s">
        <v>112</v>
      </c>
      <c r="B42" s="348" t="s">
        <v>1169</v>
      </c>
      <c r="C42" s="348">
        <v>0</v>
      </c>
      <c r="D42" s="348">
        <v>0</v>
      </c>
      <c r="E42" s="348">
        <v>0</v>
      </c>
      <c r="F42" s="348">
        <v>0</v>
      </c>
      <c r="G42" s="348">
        <v>1</v>
      </c>
      <c r="H42" s="348">
        <v>0</v>
      </c>
      <c r="I42" s="348">
        <v>0</v>
      </c>
      <c r="J42" s="348">
        <v>0</v>
      </c>
      <c r="K42" s="348"/>
      <c r="L42" s="348" t="s">
        <v>98</v>
      </c>
      <c r="M42" s="348" t="s">
        <v>983</v>
      </c>
      <c r="N42" s="348" t="s">
        <v>1232</v>
      </c>
      <c r="O42" s="348" t="s">
        <v>1504</v>
      </c>
      <c r="P42" s="348" t="s">
        <v>1503</v>
      </c>
      <c r="Q42" s="348" t="s">
        <v>107</v>
      </c>
      <c r="R42" s="348"/>
      <c r="S42" s="348" t="s">
        <v>1170</v>
      </c>
      <c r="T42" s="348" t="s">
        <v>975</v>
      </c>
      <c r="U42" s="348" t="s">
        <v>40</v>
      </c>
      <c r="V42" s="348" t="s">
        <v>983</v>
      </c>
      <c r="W42" s="348" t="s">
        <v>75</v>
      </c>
      <c r="X42" s="348">
        <f t="shared" si="0"/>
        <v>10</v>
      </c>
    </row>
    <row r="43" spans="1:24" ht="342" x14ac:dyDescent="0.2">
      <c r="A43" s="225" t="s">
        <v>113</v>
      </c>
      <c r="B43" s="348" t="s">
        <v>109</v>
      </c>
      <c r="C43" s="348">
        <v>0</v>
      </c>
      <c r="D43" s="348">
        <v>0</v>
      </c>
      <c r="E43" s="348">
        <v>0</v>
      </c>
      <c r="F43" s="348">
        <v>0</v>
      </c>
      <c r="G43" s="348">
        <v>1</v>
      </c>
      <c r="H43" s="348">
        <v>0</v>
      </c>
      <c r="I43" s="348">
        <v>0</v>
      </c>
      <c r="J43" s="348">
        <v>0</v>
      </c>
      <c r="K43" s="348"/>
      <c r="L43" s="348" t="s">
        <v>98</v>
      </c>
      <c r="M43" s="348" t="s">
        <v>983</v>
      </c>
      <c r="N43" s="348" t="s">
        <v>1232</v>
      </c>
      <c r="O43" s="348" t="s">
        <v>975</v>
      </c>
      <c r="P43" s="348" t="s">
        <v>1171</v>
      </c>
      <c r="Q43" s="348" t="s">
        <v>110</v>
      </c>
      <c r="R43" s="348"/>
      <c r="S43" s="348" t="s">
        <v>1420</v>
      </c>
      <c r="T43" s="348" t="s">
        <v>975</v>
      </c>
      <c r="U43" s="348" t="s">
        <v>40</v>
      </c>
      <c r="V43" s="348" t="s">
        <v>983</v>
      </c>
      <c r="W43" s="348" t="s">
        <v>75</v>
      </c>
      <c r="X43" s="348">
        <f t="shared" si="0"/>
        <v>10</v>
      </c>
    </row>
    <row r="44" spans="1:24" ht="171" x14ac:dyDescent="0.2">
      <c r="A44" s="225" t="s">
        <v>114</v>
      </c>
      <c r="B44" s="348" t="s">
        <v>1172</v>
      </c>
      <c r="C44" s="348">
        <v>0</v>
      </c>
      <c r="D44" s="348">
        <v>0</v>
      </c>
      <c r="E44" s="348">
        <v>0</v>
      </c>
      <c r="F44" s="348">
        <v>0</v>
      </c>
      <c r="G44" s="348">
        <v>1</v>
      </c>
      <c r="H44" s="348">
        <v>0</v>
      </c>
      <c r="I44" s="348">
        <v>0</v>
      </c>
      <c r="J44" s="348">
        <v>0</v>
      </c>
      <c r="K44" s="348"/>
      <c r="L44" s="348" t="s">
        <v>98</v>
      </c>
      <c r="M44" s="348" t="s">
        <v>983</v>
      </c>
      <c r="N44" s="348" t="s">
        <v>1232</v>
      </c>
      <c r="O44" s="348" t="s">
        <v>1173</v>
      </c>
      <c r="P44" s="348" t="s">
        <v>1174</v>
      </c>
      <c r="Q44" s="348" t="s">
        <v>1502</v>
      </c>
      <c r="R44" s="348"/>
      <c r="S44" s="348" t="s">
        <v>1234</v>
      </c>
      <c r="T44" s="348" t="s">
        <v>975</v>
      </c>
      <c r="U44" s="348" t="s">
        <v>40</v>
      </c>
      <c r="V44" s="348" t="s">
        <v>983</v>
      </c>
      <c r="W44" s="348" t="s">
        <v>75</v>
      </c>
      <c r="X44" s="348">
        <f t="shared" si="0"/>
        <v>10</v>
      </c>
    </row>
    <row r="45" spans="1:24" ht="228" x14ac:dyDescent="0.2">
      <c r="A45" s="225" t="s">
        <v>116</v>
      </c>
      <c r="B45" s="348" t="s">
        <v>115</v>
      </c>
      <c r="C45" s="348">
        <v>0</v>
      </c>
      <c r="D45" s="348">
        <v>0</v>
      </c>
      <c r="E45" s="348">
        <v>0</v>
      </c>
      <c r="F45" s="348">
        <v>0</v>
      </c>
      <c r="G45" s="348">
        <v>1</v>
      </c>
      <c r="H45" s="348">
        <v>0</v>
      </c>
      <c r="I45" s="348">
        <v>0</v>
      </c>
      <c r="J45" s="348">
        <v>0</v>
      </c>
      <c r="K45" s="348"/>
      <c r="L45" s="348" t="s">
        <v>98</v>
      </c>
      <c r="M45" s="348" t="s">
        <v>983</v>
      </c>
      <c r="N45" s="348" t="s">
        <v>1232</v>
      </c>
      <c r="O45" s="348" t="s">
        <v>1421</v>
      </c>
      <c r="P45" s="348" t="s">
        <v>1175</v>
      </c>
      <c r="Q45" s="348" t="s">
        <v>1068</v>
      </c>
      <c r="R45" s="348"/>
      <c r="S45" s="348" t="s">
        <v>1235</v>
      </c>
      <c r="T45" s="348" t="s">
        <v>1236</v>
      </c>
      <c r="U45" s="348" t="s">
        <v>40</v>
      </c>
      <c r="V45" s="348" t="s">
        <v>983</v>
      </c>
      <c r="W45" s="348" t="s">
        <v>75</v>
      </c>
      <c r="X45" s="348">
        <f t="shared" si="0"/>
        <v>10</v>
      </c>
    </row>
    <row r="46" spans="1:24" ht="270.75" x14ac:dyDescent="0.2">
      <c r="A46" s="225" t="s">
        <v>120</v>
      </c>
      <c r="B46" s="348" t="s">
        <v>117</v>
      </c>
      <c r="C46" s="348">
        <v>0</v>
      </c>
      <c r="D46" s="348">
        <v>0</v>
      </c>
      <c r="E46" s="348">
        <v>0</v>
      </c>
      <c r="F46" s="348">
        <v>0</v>
      </c>
      <c r="G46" s="348">
        <v>1</v>
      </c>
      <c r="H46" s="348">
        <v>0</v>
      </c>
      <c r="I46" s="348">
        <v>0</v>
      </c>
      <c r="J46" s="348">
        <v>0</v>
      </c>
      <c r="K46" s="348"/>
      <c r="L46" s="348" t="s">
        <v>98</v>
      </c>
      <c r="M46" s="348" t="s">
        <v>983</v>
      </c>
      <c r="N46" s="348" t="s">
        <v>1232</v>
      </c>
      <c r="O46" s="348" t="s">
        <v>1422</v>
      </c>
      <c r="P46" s="348" t="s">
        <v>118</v>
      </c>
      <c r="Q46" s="348" t="s">
        <v>119</v>
      </c>
      <c r="R46" s="348"/>
      <c r="S46" s="348" t="s">
        <v>1237</v>
      </c>
      <c r="T46" s="348" t="s">
        <v>975</v>
      </c>
      <c r="U46" s="348" t="s">
        <v>40</v>
      </c>
      <c r="V46" s="348" t="s">
        <v>983</v>
      </c>
      <c r="W46" s="348" t="s">
        <v>75</v>
      </c>
      <c r="X46" s="348">
        <f t="shared" si="0"/>
        <v>10</v>
      </c>
    </row>
    <row r="47" spans="1:24" ht="313.5" x14ac:dyDescent="0.2">
      <c r="A47" s="225" t="s">
        <v>123</v>
      </c>
      <c r="B47" s="348" t="s">
        <v>124</v>
      </c>
      <c r="C47" s="348">
        <v>0</v>
      </c>
      <c r="D47" s="348">
        <v>0</v>
      </c>
      <c r="E47" s="348">
        <v>0</v>
      </c>
      <c r="F47" s="348">
        <v>0</v>
      </c>
      <c r="G47" s="348">
        <v>1</v>
      </c>
      <c r="H47" s="348">
        <v>0</v>
      </c>
      <c r="I47" s="348">
        <v>0</v>
      </c>
      <c r="J47" s="348">
        <v>0</v>
      </c>
      <c r="K47" s="348"/>
      <c r="L47" s="348" t="s">
        <v>98</v>
      </c>
      <c r="M47" s="348" t="s">
        <v>983</v>
      </c>
      <c r="N47" s="348" t="s">
        <v>1232</v>
      </c>
      <c r="O47" s="348" t="s">
        <v>1500</v>
      </c>
      <c r="P47" s="348" t="s">
        <v>125</v>
      </c>
      <c r="Q47" s="348" t="s">
        <v>1501</v>
      </c>
      <c r="R47" s="348"/>
      <c r="S47" s="348" t="s">
        <v>1238</v>
      </c>
      <c r="U47" s="348" t="s">
        <v>40</v>
      </c>
      <c r="V47" s="348" t="s">
        <v>983</v>
      </c>
      <c r="W47" s="348" t="s">
        <v>75</v>
      </c>
      <c r="X47" s="348">
        <f t="shared" si="0"/>
        <v>10</v>
      </c>
    </row>
    <row r="48" spans="1:24" ht="171" x14ac:dyDescent="0.2">
      <c r="A48" s="225" t="s">
        <v>126</v>
      </c>
      <c r="B48" s="348" t="s">
        <v>127</v>
      </c>
      <c r="C48" s="348">
        <v>0</v>
      </c>
      <c r="D48" s="348">
        <v>0</v>
      </c>
      <c r="E48" s="348">
        <v>0</v>
      </c>
      <c r="F48" s="348">
        <v>0</v>
      </c>
      <c r="G48" s="348">
        <v>1</v>
      </c>
      <c r="H48" s="348">
        <v>0</v>
      </c>
      <c r="I48" s="348">
        <v>0</v>
      </c>
      <c r="J48" s="348">
        <v>0</v>
      </c>
      <c r="K48" s="348"/>
      <c r="L48" s="348" t="s">
        <v>98</v>
      </c>
      <c r="M48" s="348" t="s">
        <v>983</v>
      </c>
      <c r="N48" s="348" t="s">
        <v>1232</v>
      </c>
      <c r="O48" s="348" t="s">
        <v>975</v>
      </c>
      <c r="P48" s="348" t="s">
        <v>1176</v>
      </c>
      <c r="Q48" s="348" t="s">
        <v>128</v>
      </c>
      <c r="R48" s="348"/>
      <c r="S48" s="348" t="s">
        <v>1069</v>
      </c>
      <c r="T48" s="348" t="s">
        <v>1489</v>
      </c>
      <c r="U48" s="348" t="s">
        <v>40</v>
      </c>
      <c r="V48" s="348" t="s">
        <v>983</v>
      </c>
      <c r="W48" s="348" t="s">
        <v>75</v>
      </c>
      <c r="X48" s="348">
        <f t="shared" si="0"/>
        <v>10</v>
      </c>
    </row>
    <row r="49" spans="1:24" ht="256.5" x14ac:dyDescent="0.2">
      <c r="A49" s="225" t="s">
        <v>129</v>
      </c>
      <c r="B49" s="348" t="s">
        <v>1499</v>
      </c>
      <c r="C49" s="348">
        <v>0</v>
      </c>
      <c r="D49" s="348">
        <v>0</v>
      </c>
      <c r="E49" s="348">
        <v>0</v>
      </c>
      <c r="F49" s="348">
        <v>0</v>
      </c>
      <c r="G49" s="348">
        <v>1</v>
      </c>
      <c r="H49" s="348">
        <v>0</v>
      </c>
      <c r="I49" s="348">
        <v>0</v>
      </c>
      <c r="J49" s="348">
        <v>0</v>
      </c>
      <c r="K49" s="348"/>
      <c r="L49" s="348" t="s">
        <v>98</v>
      </c>
      <c r="M49" s="348" t="s">
        <v>983</v>
      </c>
      <c r="N49" s="348" t="s">
        <v>1232</v>
      </c>
      <c r="O49" s="348" t="s">
        <v>1070</v>
      </c>
      <c r="P49" s="348" t="s">
        <v>1070</v>
      </c>
      <c r="Q49" s="348" t="s">
        <v>1071</v>
      </c>
      <c r="R49" s="348"/>
      <c r="S49" s="348" t="s">
        <v>1423</v>
      </c>
      <c r="T49" s="348" t="s">
        <v>975</v>
      </c>
      <c r="U49" s="348" t="s">
        <v>148</v>
      </c>
      <c r="V49" s="348" t="s">
        <v>983</v>
      </c>
      <c r="W49" s="348" t="s">
        <v>75</v>
      </c>
      <c r="X49" s="348">
        <f t="shared" si="0"/>
        <v>10</v>
      </c>
    </row>
    <row r="50" spans="1:24" ht="213.75" x14ac:dyDescent="0.2">
      <c r="A50" s="361" t="s">
        <v>130</v>
      </c>
      <c r="B50" s="361" t="s">
        <v>1072</v>
      </c>
      <c r="C50" s="348">
        <v>0</v>
      </c>
      <c r="D50" s="348">
        <v>1</v>
      </c>
      <c r="E50" s="348">
        <v>0</v>
      </c>
      <c r="F50" s="348">
        <v>0</v>
      </c>
      <c r="G50" s="348">
        <v>0</v>
      </c>
      <c r="H50" s="348">
        <v>0</v>
      </c>
      <c r="I50" s="348">
        <v>0</v>
      </c>
      <c r="J50" s="348">
        <v>1</v>
      </c>
      <c r="K50" s="348"/>
      <c r="L50" s="348" t="s">
        <v>131</v>
      </c>
      <c r="M50" s="348" t="s">
        <v>983</v>
      </c>
      <c r="N50" s="348" t="s">
        <v>975</v>
      </c>
      <c r="O50" s="348"/>
      <c r="P50" s="348" t="s">
        <v>132</v>
      </c>
      <c r="Q50" s="348" t="s">
        <v>133</v>
      </c>
      <c r="R50" s="356" t="s">
        <v>1567</v>
      </c>
      <c r="S50" s="348" t="s">
        <v>1239</v>
      </c>
      <c r="T50" s="348" t="s">
        <v>1240</v>
      </c>
      <c r="U50" s="348" t="s">
        <v>40</v>
      </c>
      <c r="V50" s="348" t="s">
        <v>983</v>
      </c>
      <c r="W50" s="348" t="s">
        <v>46</v>
      </c>
      <c r="X50" s="348">
        <f t="shared" si="0"/>
        <v>20</v>
      </c>
    </row>
    <row r="51" spans="1:24" ht="114" x14ac:dyDescent="0.2">
      <c r="A51" s="361" t="s">
        <v>134</v>
      </c>
      <c r="B51" s="361" t="s">
        <v>1424</v>
      </c>
      <c r="C51" s="348">
        <v>0</v>
      </c>
      <c r="D51" s="348">
        <v>1</v>
      </c>
      <c r="E51" s="348">
        <v>0</v>
      </c>
      <c r="F51" s="348">
        <v>0</v>
      </c>
      <c r="G51" s="348">
        <v>0</v>
      </c>
      <c r="H51" s="348">
        <v>0</v>
      </c>
      <c r="I51" s="348">
        <v>0</v>
      </c>
      <c r="J51" s="348">
        <v>1</v>
      </c>
      <c r="K51" s="348"/>
      <c r="L51" s="348" t="s">
        <v>131</v>
      </c>
      <c r="M51" s="348" t="s">
        <v>983</v>
      </c>
      <c r="N51" s="348" t="s">
        <v>975</v>
      </c>
      <c r="O51" s="348" t="s">
        <v>1400</v>
      </c>
      <c r="P51" s="348" t="s">
        <v>1400</v>
      </c>
      <c r="Q51" s="348" t="s">
        <v>1400</v>
      </c>
      <c r="R51" s="356" t="s">
        <v>1567</v>
      </c>
      <c r="S51" s="348" t="s">
        <v>1871</v>
      </c>
      <c r="T51" s="348" t="s">
        <v>135</v>
      </c>
      <c r="U51" s="348" t="s">
        <v>40</v>
      </c>
      <c r="V51" s="348" t="s">
        <v>983</v>
      </c>
      <c r="W51" s="348" t="s">
        <v>46</v>
      </c>
      <c r="X51" s="348">
        <f t="shared" si="0"/>
        <v>20</v>
      </c>
    </row>
    <row r="52" spans="1:24" ht="85.5" x14ac:dyDescent="0.2">
      <c r="A52" s="361" t="s">
        <v>136</v>
      </c>
      <c r="B52" s="361" t="s">
        <v>1425</v>
      </c>
      <c r="C52" s="348">
        <v>0</v>
      </c>
      <c r="D52" s="348">
        <v>1</v>
      </c>
      <c r="E52" s="348">
        <v>0</v>
      </c>
      <c r="F52" s="348">
        <v>0</v>
      </c>
      <c r="G52" s="348">
        <v>0</v>
      </c>
      <c r="H52" s="348">
        <v>0</v>
      </c>
      <c r="I52" s="348">
        <v>0</v>
      </c>
      <c r="J52" s="348">
        <v>1</v>
      </c>
      <c r="K52" s="348"/>
      <c r="L52" s="348" t="s">
        <v>131</v>
      </c>
      <c r="M52" s="348" t="s">
        <v>983</v>
      </c>
      <c r="N52" s="348" t="s">
        <v>975</v>
      </c>
      <c r="O52" s="348" t="s">
        <v>975</v>
      </c>
      <c r="P52" s="348" t="s">
        <v>975</v>
      </c>
      <c r="Q52" s="348" t="s">
        <v>975</v>
      </c>
      <c r="R52" s="356" t="s">
        <v>1567</v>
      </c>
      <c r="S52" s="348" t="s">
        <v>1872</v>
      </c>
      <c r="T52" s="348" t="s">
        <v>1073</v>
      </c>
      <c r="U52" s="348" t="s">
        <v>40</v>
      </c>
      <c r="V52" s="348" t="s">
        <v>983</v>
      </c>
      <c r="W52" s="348" t="s">
        <v>46</v>
      </c>
      <c r="X52" s="348">
        <f t="shared" si="0"/>
        <v>20</v>
      </c>
    </row>
    <row r="53" spans="1:24" ht="384.75" x14ac:dyDescent="0.2">
      <c r="A53" s="361" t="s">
        <v>137</v>
      </c>
      <c r="B53" s="361" t="s">
        <v>985</v>
      </c>
      <c r="C53" s="348">
        <v>0</v>
      </c>
      <c r="D53" s="348">
        <v>1</v>
      </c>
      <c r="E53" s="348">
        <v>0</v>
      </c>
      <c r="F53" s="348">
        <v>0</v>
      </c>
      <c r="G53" s="348">
        <v>0</v>
      </c>
      <c r="H53" s="348">
        <v>0</v>
      </c>
      <c r="I53" s="348">
        <v>0</v>
      </c>
      <c r="J53" s="348">
        <v>1</v>
      </c>
      <c r="K53" s="348"/>
      <c r="L53" s="348" t="s">
        <v>131</v>
      </c>
      <c r="M53" s="348" t="s">
        <v>983</v>
      </c>
      <c r="N53" s="348" t="s">
        <v>975</v>
      </c>
      <c r="O53" s="348" t="s">
        <v>1241</v>
      </c>
      <c r="P53" s="348" t="s">
        <v>138</v>
      </c>
      <c r="Q53" s="348" t="s">
        <v>139</v>
      </c>
      <c r="R53" s="356" t="s">
        <v>1567</v>
      </c>
      <c r="S53" s="348" t="s">
        <v>1242</v>
      </c>
      <c r="T53" s="348" t="s">
        <v>1243</v>
      </c>
      <c r="U53" s="348" t="s">
        <v>40</v>
      </c>
      <c r="V53" s="348" t="s">
        <v>983</v>
      </c>
      <c r="W53" s="348" t="s">
        <v>46</v>
      </c>
      <c r="X53" s="348">
        <f t="shared" si="0"/>
        <v>20</v>
      </c>
    </row>
    <row r="54" spans="1:24" ht="213.75" x14ac:dyDescent="0.2">
      <c r="A54" s="348" t="s">
        <v>140</v>
      </c>
      <c r="B54" s="348" t="s">
        <v>1074</v>
      </c>
      <c r="C54" s="348">
        <v>0</v>
      </c>
      <c r="D54" s="348">
        <v>1</v>
      </c>
      <c r="E54" s="348">
        <v>0</v>
      </c>
      <c r="F54" s="348">
        <v>0</v>
      </c>
      <c r="G54" s="348">
        <v>0</v>
      </c>
      <c r="H54" s="348">
        <v>0</v>
      </c>
      <c r="I54" s="348">
        <v>0</v>
      </c>
      <c r="J54" s="348">
        <v>0</v>
      </c>
      <c r="K54" s="348"/>
      <c r="L54" s="348" t="s">
        <v>131</v>
      </c>
      <c r="M54" s="348" t="s">
        <v>983</v>
      </c>
      <c r="N54" s="348" t="s">
        <v>975</v>
      </c>
      <c r="O54" s="348" t="s">
        <v>141</v>
      </c>
      <c r="P54" s="348" t="s">
        <v>142</v>
      </c>
      <c r="Q54" s="348" t="s">
        <v>143</v>
      </c>
      <c r="R54" s="348"/>
      <c r="S54" s="348" t="s">
        <v>1244</v>
      </c>
      <c r="T54" s="348" t="s">
        <v>144</v>
      </c>
      <c r="U54" s="348" t="s">
        <v>40</v>
      </c>
      <c r="V54" s="348" t="s">
        <v>983</v>
      </c>
      <c r="W54" s="348" t="s">
        <v>75</v>
      </c>
      <c r="X54" s="348">
        <f t="shared" si="0"/>
        <v>10</v>
      </c>
    </row>
    <row r="55" spans="1:24" ht="171" x14ac:dyDescent="0.2">
      <c r="A55" s="361" t="s">
        <v>145</v>
      </c>
      <c r="B55" s="361" t="s">
        <v>986</v>
      </c>
      <c r="C55" s="348">
        <v>0</v>
      </c>
      <c r="D55" s="348">
        <v>0</v>
      </c>
      <c r="E55" s="348">
        <v>0</v>
      </c>
      <c r="F55" s="348">
        <v>0</v>
      </c>
      <c r="G55" s="348">
        <v>0</v>
      </c>
      <c r="H55" s="348">
        <v>1</v>
      </c>
      <c r="I55" s="348">
        <v>0</v>
      </c>
      <c r="J55" s="348">
        <v>1</v>
      </c>
      <c r="K55" s="348"/>
      <c r="L55" s="348" t="s">
        <v>147</v>
      </c>
      <c r="M55" s="348" t="s">
        <v>983</v>
      </c>
      <c r="N55" s="348" t="s">
        <v>1245</v>
      </c>
      <c r="O55" s="348" t="s">
        <v>975</v>
      </c>
      <c r="P55" s="348" t="s">
        <v>975</v>
      </c>
      <c r="Q55" s="348" t="s">
        <v>975</v>
      </c>
      <c r="R55" s="348"/>
      <c r="S55" s="348" t="s">
        <v>1075</v>
      </c>
      <c r="T55" s="348" t="s">
        <v>34</v>
      </c>
      <c r="U55" s="348" t="s">
        <v>148</v>
      </c>
      <c r="V55" s="348" t="s">
        <v>983</v>
      </c>
      <c r="W55" s="348" t="s">
        <v>46</v>
      </c>
      <c r="X55" s="348">
        <f t="shared" si="0"/>
        <v>20</v>
      </c>
    </row>
    <row r="56" spans="1:24" ht="171" x14ac:dyDescent="0.2">
      <c r="A56" s="361" t="s">
        <v>149</v>
      </c>
      <c r="B56" s="361" t="s">
        <v>987</v>
      </c>
      <c r="C56" s="348">
        <v>0</v>
      </c>
      <c r="D56" s="348">
        <v>0</v>
      </c>
      <c r="E56" s="348">
        <v>0</v>
      </c>
      <c r="F56" s="348">
        <v>0</v>
      </c>
      <c r="G56" s="348">
        <v>0</v>
      </c>
      <c r="H56" s="348">
        <v>1</v>
      </c>
      <c r="I56" s="348">
        <v>0</v>
      </c>
      <c r="J56" s="348">
        <v>1</v>
      </c>
      <c r="K56" s="348"/>
      <c r="L56" s="348" t="s">
        <v>147</v>
      </c>
      <c r="M56" s="348" t="s">
        <v>983</v>
      </c>
      <c r="N56" s="348" t="s">
        <v>1245</v>
      </c>
      <c r="O56" s="348" t="s">
        <v>975</v>
      </c>
      <c r="P56" s="348" t="s">
        <v>975</v>
      </c>
      <c r="Q56" s="348" t="s">
        <v>975</v>
      </c>
      <c r="R56" s="348"/>
      <c r="S56" s="348" t="s">
        <v>1075</v>
      </c>
      <c r="T56" s="348" t="s">
        <v>34</v>
      </c>
      <c r="U56" s="348" t="s">
        <v>40</v>
      </c>
      <c r="V56" s="348" t="s">
        <v>983</v>
      </c>
      <c r="W56" s="348" t="s">
        <v>46</v>
      </c>
      <c r="X56" s="348">
        <f t="shared" si="0"/>
        <v>20</v>
      </c>
    </row>
    <row r="57" spans="1:24" ht="171" x14ac:dyDescent="0.2">
      <c r="A57" s="361" t="s">
        <v>150</v>
      </c>
      <c r="B57" s="361" t="s">
        <v>1426</v>
      </c>
      <c r="C57" s="348">
        <v>0</v>
      </c>
      <c r="D57" s="348">
        <v>0</v>
      </c>
      <c r="E57" s="348">
        <v>0</v>
      </c>
      <c r="F57" s="348">
        <v>0</v>
      </c>
      <c r="G57" s="348">
        <v>0</v>
      </c>
      <c r="H57" s="348">
        <v>1</v>
      </c>
      <c r="I57" s="348">
        <v>0</v>
      </c>
      <c r="J57" s="348">
        <v>1</v>
      </c>
      <c r="K57" s="348"/>
      <c r="L57" s="348" t="s">
        <v>147</v>
      </c>
      <c r="M57" s="348" t="s">
        <v>983</v>
      </c>
      <c r="N57" s="348" t="s">
        <v>1245</v>
      </c>
      <c r="O57" s="348" t="s">
        <v>975</v>
      </c>
      <c r="P57" s="348" t="s">
        <v>975</v>
      </c>
      <c r="Q57" s="348" t="s">
        <v>975</v>
      </c>
      <c r="R57" s="348" t="s">
        <v>1528</v>
      </c>
      <c r="S57" s="348" t="s">
        <v>1075</v>
      </c>
      <c r="T57" s="348" t="s">
        <v>34</v>
      </c>
      <c r="U57" s="348" t="s">
        <v>40</v>
      </c>
      <c r="V57" s="348" t="s">
        <v>983</v>
      </c>
      <c r="W57" s="348" t="s">
        <v>46</v>
      </c>
      <c r="X57" s="348">
        <f t="shared" si="0"/>
        <v>20</v>
      </c>
    </row>
    <row r="58" spans="1:24" ht="171" x14ac:dyDescent="0.2">
      <c r="A58" s="361" t="s">
        <v>152</v>
      </c>
      <c r="B58" s="361" t="s">
        <v>1462</v>
      </c>
      <c r="C58" s="348">
        <v>0</v>
      </c>
      <c r="D58" s="348">
        <v>0</v>
      </c>
      <c r="E58" s="348">
        <v>0</v>
      </c>
      <c r="F58" s="348">
        <v>0</v>
      </c>
      <c r="G58" s="348">
        <v>0</v>
      </c>
      <c r="H58" s="348">
        <v>1</v>
      </c>
      <c r="I58" s="348">
        <v>0</v>
      </c>
      <c r="J58" s="348">
        <v>1</v>
      </c>
      <c r="K58" s="348"/>
      <c r="L58" s="348" t="s">
        <v>147</v>
      </c>
      <c r="M58" s="348" t="s">
        <v>983</v>
      </c>
      <c r="N58" s="348" t="s">
        <v>1245</v>
      </c>
      <c r="O58" s="348" t="s">
        <v>975</v>
      </c>
      <c r="P58" s="348" t="s">
        <v>975</v>
      </c>
      <c r="Q58" s="348" t="s">
        <v>975</v>
      </c>
      <c r="R58" s="348" t="s">
        <v>1528</v>
      </c>
      <c r="S58" s="348" t="s">
        <v>1075</v>
      </c>
      <c r="T58" s="348" t="s">
        <v>34</v>
      </c>
      <c r="U58" s="348" t="s">
        <v>40</v>
      </c>
      <c r="V58" s="348" t="s">
        <v>983</v>
      </c>
      <c r="W58" s="348" t="s">
        <v>46</v>
      </c>
      <c r="X58" s="348">
        <f t="shared" si="0"/>
        <v>20</v>
      </c>
    </row>
    <row r="59" spans="1:24" ht="171" x14ac:dyDescent="0.2">
      <c r="A59" s="348" t="s">
        <v>154</v>
      </c>
      <c r="B59" s="348" t="s">
        <v>146</v>
      </c>
      <c r="C59" s="348">
        <v>0</v>
      </c>
      <c r="D59" s="348">
        <v>0</v>
      </c>
      <c r="E59" s="348">
        <v>0</v>
      </c>
      <c r="F59" s="348">
        <v>0</v>
      </c>
      <c r="G59" s="348">
        <v>0</v>
      </c>
      <c r="H59" s="348">
        <v>1</v>
      </c>
      <c r="I59" s="348">
        <v>0</v>
      </c>
      <c r="J59" s="348">
        <v>1</v>
      </c>
      <c r="K59" s="348"/>
      <c r="L59" s="348" t="s">
        <v>147</v>
      </c>
      <c r="M59" s="348" t="s">
        <v>983</v>
      </c>
      <c r="N59" s="348" t="s">
        <v>1245</v>
      </c>
      <c r="O59" s="348" t="s">
        <v>975</v>
      </c>
      <c r="P59" s="348" t="s">
        <v>975</v>
      </c>
      <c r="Q59" s="348" t="s">
        <v>975</v>
      </c>
      <c r="R59" s="348"/>
      <c r="S59" s="348" t="s">
        <v>1075</v>
      </c>
      <c r="T59" s="348" t="s">
        <v>34</v>
      </c>
      <c r="U59" s="348" t="s">
        <v>148</v>
      </c>
      <c r="V59" s="348" t="s">
        <v>983</v>
      </c>
      <c r="W59" s="348" t="s">
        <v>75</v>
      </c>
      <c r="X59" s="348">
        <f t="shared" si="0"/>
        <v>10</v>
      </c>
    </row>
    <row r="60" spans="1:24" ht="171" x14ac:dyDescent="0.2">
      <c r="A60" s="348" t="s">
        <v>155</v>
      </c>
      <c r="B60" s="348" t="s">
        <v>151</v>
      </c>
      <c r="C60" s="348">
        <v>0</v>
      </c>
      <c r="D60" s="348">
        <v>0</v>
      </c>
      <c r="E60" s="348">
        <v>0</v>
      </c>
      <c r="F60" s="348">
        <v>0</v>
      </c>
      <c r="G60" s="348">
        <v>0</v>
      </c>
      <c r="H60" s="348">
        <v>1</v>
      </c>
      <c r="I60" s="348">
        <v>0</v>
      </c>
      <c r="J60" s="348">
        <v>1</v>
      </c>
      <c r="K60" s="348"/>
      <c r="L60" s="348" t="s">
        <v>147</v>
      </c>
      <c r="M60" s="348" t="s">
        <v>983</v>
      </c>
      <c r="N60" s="348" t="s">
        <v>1245</v>
      </c>
      <c r="O60" s="348" t="s">
        <v>975</v>
      </c>
      <c r="P60" s="348" t="s">
        <v>975</v>
      </c>
      <c r="Q60" s="348" t="s">
        <v>975</v>
      </c>
      <c r="R60" s="348"/>
      <c r="S60" s="348" t="s">
        <v>1075</v>
      </c>
      <c r="T60" s="348" t="s">
        <v>34</v>
      </c>
      <c r="U60" s="348" t="s">
        <v>148</v>
      </c>
      <c r="V60" s="348" t="s">
        <v>983</v>
      </c>
      <c r="W60" s="348" t="s">
        <v>75</v>
      </c>
      <c r="X60" s="348">
        <f t="shared" si="0"/>
        <v>10</v>
      </c>
    </row>
    <row r="61" spans="1:24" ht="171" x14ac:dyDescent="0.2">
      <c r="A61" s="348" t="s">
        <v>157</v>
      </c>
      <c r="B61" s="348" t="s">
        <v>153</v>
      </c>
      <c r="C61" s="348">
        <v>0</v>
      </c>
      <c r="D61" s="348">
        <v>0</v>
      </c>
      <c r="E61" s="348">
        <v>0</v>
      </c>
      <c r="F61" s="348">
        <v>0</v>
      </c>
      <c r="G61" s="348">
        <v>0</v>
      </c>
      <c r="H61" s="348">
        <v>1</v>
      </c>
      <c r="I61" s="348">
        <v>0</v>
      </c>
      <c r="J61" s="348">
        <v>1</v>
      </c>
      <c r="K61" s="348"/>
      <c r="L61" s="348" t="s">
        <v>147</v>
      </c>
      <c r="M61" s="348" t="s">
        <v>983</v>
      </c>
      <c r="N61" s="348" t="s">
        <v>1245</v>
      </c>
      <c r="O61" s="348" t="s">
        <v>975</v>
      </c>
      <c r="P61" s="348" t="s">
        <v>975</v>
      </c>
      <c r="Q61" s="348" t="s">
        <v>975</v>
      </c>
      <c r="R61" s="348"/>
      <c r="S61" s="348" t="s">
        <v>1075</v>
      </c>
      <c r="T61" s="348" t="s">
        <v>34</v>
      </c>
      <c r="U61" s="348" t="s">
        <v>148</v>
      </c>
      <c r="V61" s="348" t="s">
        <v>983</v>
      </c>
      <c r="W61" s="348" t="s">
        <v>75</v>
      </c>
      <c r="X61" s="348">
        <f t="shared" si="0"/>
        <v>10</v>
      </c>
    </row>
    <row r="62" spans="1:24" ht="171" x14ac:dyDescent="0.2">
      <c r="A62" s="348" t="s">
        <v>158</v>
      </c>
      <c r="B62" s="348" t="s">
        <v>156</v>
      </c>
      <c r="C62" s="348">
        <v>0</v>
      </c>
      <c r="D62" s="348">
        <v>0</v>
      </c>
      <c r="E62" s="348">
        <v>0</v>
      </c>
      <c r="F62" s="348">
        <v>0</v>
      </c>
      <c r="G62" s="348">
        <v>0</v>
      </c>
      <c r="H62" s="348">
        <v>1</v>
      </c>
      <c r="I62" s="348">
        <v>0</v>
      </c>
      <c r="J62" s="348">
        <v>1</v>
      </c>
      <c r="K62" s="348"/>
      <c r="L62" s="348" t="s">
        <v>147</v>
      </c>
      <c r="M62" s="348" t="s">
        <v>983</v>
      </c>
      <c r="N62" s="348" t="s">
        <v>1245</v>
      </c>
      <c r="O62" s="348" t="s">
        <v>975</v>
      </c>
      <c r="P62" s="348"/>
      <c r="Q62" s="348" t="s">
        <v>975</v>
      </c>
      <c r="R62" s="348"/>
      <c r="S62" s="348" t="s">
        <v>1075</v>
      </c>
      <c r="T62" s="348" t="s">
        <v>34</v>
      </c>
      <c r="U62" s="348" t="s">
        <v>148</v>
      </c>
      <c r="V62" s="348" t="s">
        <v>983</v>
      </c>
      <c r="W62" s="348" t="s">
        <v>75</v>
      </c>
      <c r="X62" s="348">
        <f t="shared" si="0"/>
        <v>10</v>
      </c>
    </row>
    <row r="63" spans="1:24" ht="171" x14ac:dyDescent="0.2">
      <c r="A63" s="348" t="s">
        <v>160</v>
      </c>
      <c r="B63" s="348" t="s">
        <v>159</v>
      </c>
      <c r="C63" s="348">
        <v>0</v>
      </c>
      <c r="D63" s="348">
        <v>0</v>
      </c>
      <c r="E63" s="348">
        <v>0</v>
      </c>
      <c r="F63" s="348">
        <v>0</v>
      </c>
      <c r="G63" s="348">
        <v>0</v>
      </c>
      <c r="H63" s="348">
        <v>1</v>
      </c>
      <c r="I63" s="348">
        <v>0</v>
      </c>
      <c r="J63" s="348">
        <v>1</v>
      </c>
      <c r="K63" s="348"/>
      <c r="L63" s="348" t="s">
        <v>147</v>
      </c>
      <c r="M63" s="348" t="s">
        <v>983</v>
      </c>
      <c r="N63" s="348" t="s">
        <v>1245</v>
      </c>
      <c r="O63" s="348" t="s">
        <v>975</v>
      </c>
      <c r="P63" s="348"/>
      <c r="Q63" s="348" t="s">
        <v>975</v>
      </c>
      <c r="R63" s="348"/>
      <c r="S63" s="348" t="s">
        <v>1075</v>
      </c>
      <c r="T63" s="348" t="s">
        <v>34</v>
      </c>
      <c r="U63" s="348" t="s">
        <v>148</v>
      </c>
      <c r="V63" s="348" t="s">
        <v>983</v>
      </c>
      <c r="W63" s="348" t="s">
        <v>75</v>
      </c>
      <c r="X63" s="348">
        <f t="shared" si="0"/>
        <v>10</v>
      </c>
    </row>
    <row r="64" spans="1:24" ht="228" x14ac:dyDescent="0.2">
      <c r="A64" s="361" t="s">
        <v>161</v>
      </c>
      <c r="B64" s="361" t="s">
        <v>988</v>
      </c>
      <c r="C64" s="348">
        <v>0</v>
      </c>
      <c r="D64" s="348">
        <v>0</v>
      </c>
      <c r="E64" s="348">
        <v>0</v>
      </c>
      <c r="F64" s="348">
        <v>1</v>
      </c>
      <c r="G64" s="348">
        <v>0</v>
      </c>
      <c r="H64" s="348">
        <v>0</v>
      </c>
      <c r="I64" s="348">
        <v>0</v>
      </c>
      <c r="J64" s="348">
        <v>1</v>
      </c>
      <c r="K64" s="348"/>
      <c r="L64" s="348" t="s">
        <v>162</v>
      </c>
      <c r="M64" s="348" t="s">
        <v>983</v>
      </c>
      <c r="N64" s="348" t="s">
        <v>1246</v>
      </c>
      <c r="O64" s="348" t="s">
        <v>163</v>
      </c>
      <c r="P64" s="348" t="s">
        <v>164</v>
      </c>
      <c r="Q64" s="348" t="s">
        <v>165</v>
      </c>
      <c r="R64" s="348"/>
      <c r="S64" s="348" t="s">
        <v>1207</v>
      </c>
      <c r="T64" s="348" t="s">
        <v>1247</v>
      </c>
      <c r="U64" s="348" t="s">
        <v>40</v>
      </c>
      <c r="V64" s="348" t="s">
        <v>983</v>
      </c>
      <c r="W64" s="348" t="s">
        <v>46</v>
      </c>
      <c r="X64" s="348">
        <f t="shared" si="0"/>
        <v>20</v>
      </c>
    </row>
    <row r="65" spans="1:24" ht="242.25" x14ac:dyDescent="0.2">
      <c r="A65" s="361" t="s">
        <v>166</v>
      </c>
      <c r="B65" s="361" t="s">
        <v>989</v>
      </c>
      <c r="C65" s="348">
        <v>0</v>
      </c>
      <c r="D65" s="348">
        <v>0</v>
      </c>
      <c r="E65" s="348">
        <v>0</v>
      </c>
      <c r="F65" s="348">
        <v>1</v>
      </c>
      <c r="G65" s="348">
        <v>0</v>
      </c>
      <c r="H65" s="348">
        <v>0</v>
      </c>
      <c r="I65" s="348">
        <v>0</v>
      </c>
      <c r="J65" s="348">
        <v>0</v>
      </c>
      <c r="K65" s="348"/>
      <c r="L65" s="348" t="s">
        <v>162</v>
      </c>
      <c r="M65" s="348" t="s">
        <v>983</v>
      </c>
      <c r="N65" s="348" t="s">
        <v>1246</v>
      </c>
      <c r="O65" s="348" t="s">
        <v>975</v>
      </c>
      <c r="P65" s="348" t="s">
        <v>176</v>
      </c>
      <c r="Q65" s="348" t="s">
        <v>177</v>
      </c>
      <c r="R65" s="348"/>
      <c r="S65" s="348" t="s">
        <v>1248</v>
      </c>
      <c r="T65" s="348" t="s">
        <v>1249</v>
      </c>
      <c r="U65" s="348" t="s">
        <v>40</v>
      </c>
      <c r="V65" s="348" t="s">
        <v>983</v>
      </c>
      <c r="W65" s="348" t="s">
        <v>46</v>
      </c>
      <c r="X65" s="348">
        <f t="shared" si="0"/>
        <v>20</v>
      </c>
    </row>
    <row r="66" spans="1:24" ht="213.75" x14ac:dyDescent="0.2">
      <c r="A66" s="361" t="s">
        <v>170</v>
      </c>
      <c r="B66" s="361" t="s">
        <v>990</v>
      </c>
      <c r="C66" s="348">
        <v>0</v>
      </c>
      <c r="D66" s="348">
        <v>0</v>
      </c>
      <c r="E66" s="348">
        <v>0</v>
      </c>
      <c r="F66" s="348">
        <v>1</v>
      </c>
      <c r="G66" s="348">
        <v>0</v>
      </c>
      <c r="H66" s="348">
        <v>0</v>
      </c>
      <c r="I66" s="348">
        <v>0</v>
      </c>
      <c r="J66" s="348">
        <v>0</v>
      </c>
      <c r="K66" s="348"/>
      <c r="L66" s="348" t="s">
        <v>162</v>
      </c>
      <c r="M66" s="348" t="s">
        <v>983</v>
      </c>
      <c r="N66" s="348" t="s">
        <v>1246</v>
      </c>
      <c r="O66" s="348" t="s">
        <v>183</v>
      </c>
      <c r="P66" s="348" t="s">
        <v>184</v>
      </c>
      <c r="Q66" s="348" t="s">
        <v>185</v>
      </c>
      <c r="R66" s="348"/>
      <c r="S66" s="348" t="s">
        <v>1392</v>
      </c>
      <c r="T66" s="348" t="s">
        <v>1250</v>
      </c>
      <c r="U66" s="348" t="s">
        <v>40</v>
      </c>
      <c r="V66" s="348" t="s">
        <v>983</v>
      </c>
      <c r="W66" s="348" t="s">
        <v>46</v>
      </c>
      <c r="X66" s="348">
        <f t="shared" si="0"/>
        <v>20</v>
      </c>
    </row>
    <row r="67" spans="1:24" ht="85.5" x14ac:dyDescent="0.2">
      <c r="A67" s="361" t="s">
        <v>175</v>
      </c>
      <c r="B67" s="361" t="s">
        <v>1698</v>
      </c>
      <c r="C67" s="348">
        <v>0</v>
      </c>
      <c r="D67" s="348">
        <v>0</v>
      </c>
      <c r="E67" s="348">
        <v>0</v>
      </c>
      <c r="F67" s="348">
        <v>1</v>
      </c>
      <c r="G67" s="348">
        <v>0</v>
      </c>
      <c r="H67" s="348">
        <v>0</v>
      </c>
      <c r="I67" s="348">
        <v>0</v>
      </c>
      <c r="J67" s="348">
        <v>1</v>
      </c>
      <c r="K67" s="348"/>
      <c r="L67" s="348" t="s">
        <v>162</v>
      </c>
      <c r="M67" s="348" t="s">
        <v>983</v>
      </c>
      <c r="N67" s="348" t="s">
        <v>1246</v>
      </c>
      <c r="O67" s="348" t="s">
        <v>975</v>
      </c>
      <c r="P67" s="348" t="s">
        <v>192</v>
      </c>
      <c r="Q67" s="348" t="s">
        <v>193</v>
      </c>
      <c r="R67" s="348"/>
      <c r="S67" s="348" t="s">
        <v>194</v>
      </c>
      <c r="T67" s="348" t="s">
        <v>1251</v>
      </c>
      <c r="U67" s="348" t="s">
        <v>148</v>
      </c>
      <c r="V67" s="348" t="s">
        <v>983</v>
      </c>
      <c r="W67" s="348" t="s">
        <v>46</v>
      </c>
      <c r="X67" s="348">
        <f t="shared" si="0"/>
        <v>20</v>
      </c>
    </row>
    <row r="68" spans="1:24" ht="256.5" x14ac:dyDescent="0.2">
      <c r="A68" s="361" t="s">
        <v>178</v>
      </c>
      <c r="B68" s="361" t="s">
        <v>991</v>
      </c>
      <c r="C68" s="348">
        <v>0</v>
      </c>
      <c r="D68" s="348">
        <v>0</v>
      </c>
      <c r="E68" s="348">
        <v>0</v>
      </c>
      <c r="F68" s="348">
        <v>1</v>
      </c>
      <c r="G68" s="348">
        <v>0</v>
      </c>
      <c r="H68" s="348">
        <v>0</v>
      </c>
      <c r="I68" s="348">
        <v>0</v>
      </c>
      <c r="J68" s="348">
        <v>0</v>
      </c>
      <c r="K68" s="348"/>
      <c r="L68" s="348" t="s">
        <v>162</v>
      </c>
      <c r="M68" s="348" t="s">
        <v>983</v>
      </c>
      <c r="N68" s="348" t="s">
        <v>1246</v>
      </c>
      <c r="O68" s="348" t="s">
        <v>975</v>
      </c>
      <c r="P68" s="348" t="s">
        <v>196</v>
      </c>
      <c r="Q68" s="348" t="s">
        <v>197</v>
      </c>
      <c r="R68" s="348"/>
      <c r="S68" s="348" t="s">
        <v>1252</v>
      </c>
      <c r="T68" s="348" t="s">
        <v>1253</v>
      </c>
      <c r="U68" s="348" t="s">
        <v>40</v>
      </c>
      <c r="V68" s="348" t="s">
        <v>983</v>
      </c>
      <c r="W68" s="348" t="s">
        <v>46</v>
      </c>
      <c r="X68" s="348">
        <f t="shared" si="0"/>
        <v>20</v>
      </c>
    </row>
    <row r="69" spans="1:24" ht="242.25" x14ac:dyDescent="0.2">
      <c r="A69" s="361" t="s">
        <v>182</v>
      </c>
      <c r="B69" s="361" t="s">
        <v>992</v>
      </c>
      <c r="C69" s="348">
        <v>0</v>
      </c>
      <c r="D69" s="348">
        <v>0</v>
      </c>
      <c r="E69" s="348">
        <v>0</v>
      </c>
      <c r="F69" s="348">
        <v>1</v>
      </c>
      <c r="G69" s="348">
        <v>0</v>
      </c>
      <c r="H69" s="348">
        <v>0</v>
      </c>
      <c r="I69" s="348">
        <v>0</v>
      </c>
      <c r="J69" s="348">
        <v>0</v>
      </c>
      <c r="K69" s="348"/>
      <c r="L69" s="348" t="s">
        <v>162</v>
      </c>
      <c r="M69" s="348" t="s">
        <v>983</v>
      </c>
      <c r="N69" s="348" t="s">
        <v>1246</v>
      </c>
      <c r="O69" s="348" t="s">
        <v>975</v>
      </c>
      <c r="P69" s="348" t="s">
        <v>211</v>
      </c>
      <c r="Q69" s="348" t="s">
        <v>212</v>
      </c>
      <c r="R69" s="348"/>
      <c r="S69" s="348" t="s">
        <v>1254</v>
      </c>
      <c r="T69" s="348" t="s">
        <v>1255</v>
      </c>
      <c r="U69" s="348" t="s">
        <v>40</v>
      </c>
      <c r="V69" s="348" t="s">
        <v>983</v>
      </c>
      <c r="W69" s="348" t="s">
        <v>46</v>
      </c>
      <c r="X69" s="348">
        <f t="shared" si="0"/>
        <v>20</v>
      </c>
    </row>
    <row r="70" spans="1:24" ht="142.5" x14ac:dyDescent="0.2">
      <c r="A70" s="361" t="s">
        <v>186</v>
      </c>
      <c r="B70" s="361" t="s">
        <v>993</v>
      </c>
      <c r="C70" s="348">
        <v>0</v>
      </c>
      <c r="D70" s="348">
        <v>0</v>
      </c>
      <c r="E70" s="348">
        <v>0</v>
      </c>
      <c r="F70" s="348">
        <v>1</v>
      </c>
      <c r="G70" s="348">
        <v>0</v>
      </c>
      <c r="H70" s="348">
        <v>0</v>
      </c>
      <c r="I70" s="348">
        <v>0</v>
      </c>
      <c r="J70" s="348">
        <v>0</v>
      </c>
      <c r="K70" s="348"/>
      <c r="L70" s="348" t="s">
        <v>162</v>
      </c>
      <c r="M70" s="348" t="s">
        <v>983</v>
      </c>
      <c r="N70" s="348" t="s">
        <v>1246</v>
      </c>
      <c r="O70" s="348" t="s">
        <v>975</v>
      </c>
      <c r="P70" s="348" t="s">
        <v>214</v>
      </c>
      <c r="Q70" s="348" t="s">
        <v>215</v>
      </c>
      <c r="R70" s="348"/>
      <c r="S70" s="348" t="s">
        <v>1256</v>
      </c>
      <c r="T70" s="348" t="s">
        <v>1257</v>
      </c>
      <c r="U70" s="348" t="s">
        <v>40</v>
      </c>
      <c r="V70" s="348" t="s">
        <v>983</v>
      </c>
      <c r="W70" s="348" t="s">
        <v>46</v>
      </c>
      <c r="X70" s="348">
        <f t="shared" si="0"/>
        <v>20</v>
      </c>
    </row>
    <row r="71" spans="1:24" ht="213.75" x14ac:dyDescent="0.2">
      <c r="A71" s="348" t="s">
        <v>191</v>
      </c>
      <c r="B71" s="348" t="s">
        <v>167</v>
      </c>
      <c r="C71" s="348">
        <v>0</v>
      </c>
      <c r="D71" s="348">
        <v>0</v>
      </c>
      <c r="E71" s="348">
        <v>0</v>
      </c>
      <c r="F71" s="348">
        <v>1</v>
      </c>
      <c r="G71" s="348">
        <v>0</v>
      </c>
      <c r="H71" s="348">
        <v>0</v>
      </c>
      <c r="I71" s="348">
        <v>0</v>
      </c>
      <c r="J71" s="348">
        <v>1</v>
      </c>
      <c r="K71" s="348"/>
      <c r="L71" s="348" t="s">
        <v>162</v>
      </c>
      <c r="M71" s="348" t="s">
        <v>983</v>
      </c>
      <c r="N71" s="348" t="s">
        <v>1246</v>
      </c>
      <c r="O71" s="348" t="s">
        <v>168</v>
      </c>
      <c r="P71" s="348" t="s">
        <v>169</v>
      </c>
      <c r="Q71" s="348" t="s">
        <v>168</v>
      </c>
      <c r="R71" s="348"/>
      <c r="S71" s="348" t="s">
        <v>1258</v>
      </c>
      <c r="T71" s="348" t="s">
        <v>1259</v>
      </c>
      <c r="U71" s="348" t="s">
        <v>40</v>
      </c>
      <c r="V71" s="348" t="s">
        <v>983</v>
      </c>
      <c r="W71" s="348" t="s">
        <v>75</v>
      </c>
      <c r="X71" s="348">
        <f t="shared" si="0"/>
        <v>10</v>
      </c>
    </row>
    <row r="72" spans="1:24" ht="228" x14ac:dyDescent="0.2">
      <c r="A72" s="348" t="s">
        <v>195</v>
      </c>
      <c r="B72" s="348" t="s">
        <v>171</v>
      </c>
      <c r="C72" s="348">
        <v>0</v>
      </c>
      <c r="D72" s="348">
        <v>0</v>
      </c>
      <c r="E72" s="348">
        <v>0</v>
      </c>
      <c r="F72" s="348">
        <v>1</v>
      </c>
      <c r="G72" s="348">
        <v>0</v>
      </c>
      <c r="H72" s="348">
        <v>0</v>
      </c>
      <c r="I72" s="348">
        <v>0</v>
      </c>
      <c r="J72" s="348">
        <v>0</v>
      </c>
      <c r="K72" s="348"/>
      <c r="L72" s="348" t="s">
        <v>162</v>
      </c>
      <c r="M72" s="348" t="s">
        <v>983</v>
      </c>
      <c r="N72" s="348" t="s">
        <v>1246</v>
      </c>
      <c r="O72" s="348" t="s">
        <v>975</v>
      </c>
      <c r="P72" s="348" t="s">
        <v>172</v>
      </c>
      <c r="Q72" s="348" t="s">
        <v>173</v>
      </c>
      <c r="R72" s="348"/>
      <c r="S72" s="348" t="s">
        <v>174</v>
      </c>
      <c r="T72" s="348" t="s">
        <v>1214</v>
      </c>
      <c r="U72" s="348" t="s">
        <v>40</v>
      </c>
      <c r="V72" s="348" t="s">
        <v>983</v>
      </c>
      <c r="W72" s="348" t="s">
        <v>75</v>
      </c>
      <c r="X72" s="348">
        <f t="shared" si="0"/>
        <v>10</v>
      </c>
    </row>
    <row r="73" spans="1:24" ht="256.5" x14ac:dyDescent="0.2">
      <c r="A73" s="348" t="s">
        <v>198</v>
      </c>
      <c r="B73" s="348" t="s">
        <v>1865</v>
      </c>
      <c r="C73" s="348">
        <v>0</v>
      </c>
      <c r="D73" s="348">
        <v>0</v>
      </c>
      <c r="E73" s="348">
        <v>0</v>
      </c>
      <c r="F73" s="348">
        <v>1</v>
      </c>
      <c r="G73" s="348">
        <v>0</v>
      </c>
      <c r="H73" s="348">
        <v>0</v>
      </c>
      <c r="I73" s="348">
        <v>0</v>
      </c>
      <c r="J73" s="348">
        <v>0</v>
      </c>
      <c r="K73" s="348"/>
      <c r="L73" s="348" t="s">
        <v>162</v>
      </c>
      <c r="M73" s="348" t="s">
        <v>983</v>
      </c>
      <c r="N73" s="348" t="s">
        <v>1246</v>
      </c>
      <c r="O73" s="348" t="s">
        <v>179</v>
      </c>
      <c r="P73" s="348" t="s">
        <v>90</v>
      </c>
      <c r="Q73" s="348" t="s">
        <v>180</v>
      </c>
      <c r="R73" s="348"/>
      <c r="S73" s="348" t="s">
        <v>1260</v>
      </c>
      <c r="T73" s="348" t="s">
        <v>181</v>
      </c>
      <c r="U73" s="348" t="s">
        <v>40</v>
      </c>
      <c r="V73" s="348" t="s">
        <v>983</v>
      </c>
      <c r="W73" s="348" t="s">
        <v>75</v>
      </c>
      <c r="X73" s="348">
        <f t="shared" si="0"/>
        <v>10</v>
      </c>
    </row>
    <row r="74" spans="1:24" ht="185.25" x14ac:dyDescent="0.2">
      <c r="A74" s="348" t="s">
        <v>202</v>
      </c>
      <c r="B74" s="348" t="s">
        <v>203</v>
      </c>
      <c r="C74" s="348">
        <v>0</v>
      </c>
      <c r="D74" s="348">
        <v>0</v>
      </c>
      <c r="E74" s="348">
        <v>0</v>
      </c>
      <c r="F74" s="348">
        <v>1</v>
      </c>
      <c r="G74" s="348">
        <v>0</v>
      </c>
      <c r="H74" s="348">
        <v>0</v>
      </c>
      <c r="I74" s="348">
        <v>0</v>
      </c>
      <c r="J74" s="348">
        <v>0</v>
      </c>
      <c r="K74" s="348"/>
      <c r="L74" s="348" t="s">
        <v>162</v>
      </c>
      <c r="M74" s="348" t="s">
        <v>983</v>
      </c>
      <c r="N74" s="348" t="s">
        <v>1246</v>
      </c>
      <c r="O74" s="348" t="s">
        <v>975</v>
      </c>
      <c r="P74" s="348" t="s">
        <v>204</v>
      </c>
      <c r="Q74" s="348" t="s">
        <v>205</v>
      </c>
      <c r="R74" s="348"/>
      <c r="S74" s="348" t="s">
        <v>1261</v>
      </c>
      <c r="T74" s="348" t="s">
        <v>1262</v>
      </c>
      <c r="U74" s="348" t="s">
        <v>40</v>
      </c>
      <c r="V74" s="348" t="s">
        <v>983</v>
      </c>
      <c r="W74" s="348" t="s">
        <v>75</v>
      </c>
      <c r="X74" s="348">
        <f t="shared" si="0"/>
        <v>10</v>
      </c>
    </row>
    <row r="75" spans="1:24" ht="185.25" x14ac:dyDescent="0.2">
      <c r="A75" s="348" t="s">
        <v>206</v>
      </c>
      <c r="B75" s="348" t="s">
        <v>207</v>
      </c>
      <c r="C75" s="348">
        <v>0</v>
      </c>
      <c r="D75" s="348">
        <v>0</v>
      </c>
      <c r="E75" s="348">
        <v>0</v>
      </c>
      <c r="F75" s="348">
        <v>1</v>
      </c>
      <c r="G75" s="348">
        <v>0</v>
      </c>
      <c r="H75" s="348">
        <v>0</v>
      </c>
      <c r="I75" s="348">
        <v>0</v>
      </c>
      <c r="J75" s="348">
        <v>0</v>
      </c>
      <c r="K75" s="348"/>
      <c r="L75" s="348" t="s">
        <v>162</v>
      </c>
      <c r="M75" s="348" t="s">
        <v>983</v>
      </c>
      <c r="N75" s="348" t="s">
        <v>1246</v>
      </c>
      <c r="O75" s="348" t="s">
        <v>975</v>
      </c>
      <c r="P75" s="348" t="s">
        <v>208</v>
      </c>
      <c r="Q75" s="348" t="s">
        <v>209</v>
      </c>
      <c r="R75" s="348"/>
      <c r="S75" s="348" t="s">
        <v>1261</v>
      </c>
      <c r="T75" s="348" t="s">
        <v>1262</v>
      </c>
      <c r="U75" s="348" t="s">
        <v>40</v>
      </c>
      <c r="V75" s="348" t="s">
        <v>983</v>
      </c>
      <c r="W75" s="348" t="s">
        <v>75</v>
      </c>
      <c r="X75" s="348">
        <f t="shared" si="0"/>
        <v>10</v>
      </c>
    </row>
    <row r="76" spans="1:24" ht="128.25" x14ac:dyDescent="0.2">
      <c r="A76" s="348" t="s">
        <v>210</v>
      </c>
      <c r="B76" s="348" t="s">
        <v>187</v>
      </c>
      <c r="C76" s="348">
        <v>0</v>
      </c>
      <c r="D76" s="348">
        <v>0</v>
      </c>
      <c r="E76" s="348">
        <v>0</v>
      </c>
      <c r="F76" s="348">
        <v>1</v>
      </c>
      <c r="G76" s="348">
        <v>0</v>
      </c>
      <c r="H76" s="348">
        <v>0</v>
      </c>
      <c r="I76" s="348">
        <v>0</v>
      </c>
      <c r="J76" s="348">
        <v>0</v>
      </c>
      <c r="K76" s="348"/>
      <c r="L76" s="348" t="s">
        <v>162</v>
      </c>
      <c r="M76" s="348" t="s">
        <v>983</v>
      </c>
      <c r="N76" s="348" t="s">
        <v>1246</v>
      </c>
      <c r="O76" s="348" t="s">
        <v>188</v>
      </c>
      <c r="P76" s="348" t="s">
        <v>1873</v>
      </c>
      <c r="Q76" s="348" t="s">
        <v>189</v>
      </c>
      <c r="R76" s="348" t="s">
        <v>1528</v>
      </c>
      <c r="S76" s="348" t="s">
        <v>190</v>
      </c>
      <c r="T76" s="348" t="s">
        <v>1263</v>
      </c>
      <c r="U76" s="348" t="s">
        <v>40</v>
      </c>
      <c r="V76" s="348" t="s">
        <v>983</v>
      </c>
      <c r="W76" s="348" t="s">
        <v>41</v>
      </c>
      <c r="X76" s="348">
        <f t="shared" ref="X76:X139" si="1">IF($W76="Critical Importance",20,IF($W76="Minor Importance",5,10))</f>
        <v>5</v>
      </c>
    </row>
    <row r="77" spans="1:24" ht="199.5" x14ac:dyDescent="0.2">
      <c r="A77" s="348" t="s">
        <v>213</v>
      </c>
      <c r="B77" s="348" t="s">
        <v>199</v>
      </c>
      <c r="C77" s="348">
        <v>0</v>
      </c>
      <c r="D77" s="348">
        <v>0</v>
      </c>
      <c r="E77" s="348">
        <v>0</v>
      </c>
      <c r="F77" s="348">
        <v>1</v>
      </c>
      <c r="G77" s="348">
        <v>0</v>
      </c>
      <c r="H77" s="348">
        <v>0</v>
      </c>
      <c r="I77" s="348">
        <v>0</v>
      </c>
      <c r="J77" s="348">
        <v>0</v>
      </c>
      <c r="K77" s="348"/>
      <c r="L77" s="348" t="s">
        <v>162</v>
      </c>
      <c r="M77" s="348" t="s">
        <v>983</v>
      </c>
      <c r="N77" s="348" t="s">
        <v>1246</v>
      </c>
      <c r="O77" s="348" t="s">
        <v>975</v>
      </c>
      <c r="P77" s="348" t="s">
        <v>200</v>
      </c>
      <c r="Q77" s="348" t="s">
        <v>201</v>
      </c>
      <c r="R77" s="348"/>
      <c r="S77" s="348" t="s">
        <v>1874</v>
      </c>
      <c r="T77" s="348" t="s">
        <v>1264</v>
      </c>
      <c r="U77" s="348" t="s">
        <v>40</v>
      </c>
      <c r="V77" s="348" t="s">
        <v>983</v>
      </c>
      <c r="W77" s="348" t="s">
        <v>41</v>
      </c>
      <c r="X77" s="348">
        <f t="shared" si="1"/>
        <v>5</v>
      </c>
    </row>
    <row r="78" spans="1:24" ht="185.25" x14ac:dyDescent="0.2">
      <c r="A78" s="361" t="s">
        <v>216</v>
      </c>
      <c r="B78" s="361" t="s">
        <v>994</v>
      </c>
      <c r="C78" s="348">
        <v>0</v>
      </c>
      <c r="D78" s="348">
        <v>0</v>
      </c>
      <c r="E78" s="348">
        <v>1</v>
      </c>
      <c r="F78" s="348">
        <v>0</v>
      </c>
      <c r="G78" s="348">
        <v>0</v>
      </c>
      <c r="H78" s="348">
        <v>0</v>
      </c>
      <c r="I78" s="348">
        <v>0</v>
      </c>
      <c r="J78" s="348">
        <v>1</v>
      </c>
      <c r="K78" s="348"/>
      <c r="L78" s="348" t="s">
        <v>4</v>
      </c>
      <c r="M78" s="348" t="s">
        <v>983</v>
      </c>
      <c r="N78" s="348" t="s">
        <v>1246</v>
      </c>
      <c r="O78" s="348" t="s">
        <v>1076</v>
      </c>
      <c r="P78" s="348" t="s">
        <v>217</v>
      </c>
      <c r="Q78" s="348" t="s">
        <v>218</v>
      </c>
      <c r="R78" s="348"/>
      <c r="S78" s="348" t="s">
        <v>219</v>
      </c>
      <c r="T78" s="348" t="s">
        <v>220</v>
      </c>
      <c r="U78" s="348" t="s">
        <v>40</v>
      </c>
      <c r="V78" s="348" t="s">
        <v>983</v>
      </c>
      <c r="W78" s="348" t="s">
        <v>46</v>
      </c>
      <c r="X78" s="348">
        <f t="shared" si="1"/>
        <v>20</v>
      </c>
    </row>
    <row r="79" spans="1:24" ht="185.25" x14ac:dyDescent="0.2">
      <c r="A79" s="361" t="s">
        <v>221</v>
      </c>
      <c r="B79" s="361" t="s">
        <v>1532</v>
      </c>
      <c r="C79" s="348">
        <v>0</v>
      </c>
      <c r="D79" s="348">
        <v>0</v>
      </c>
      <c r="E79" s="348">
        <v>1</v>
      </c>
      <c r="F79" s="348">
        <v>0</v>
      </c>
      <c r="G79" s="348">
        <v>0</v>
      </c>
      <c r="H79" s="348">
        <v>0</v>
      </c>
      <c r="I79" s="348">
        <v>0</v>
      </c>
      <c r="J79" s="348">
        <v>1</v>
      </c>
      <c r="K79" s="348"/>
      <c r="L79" s="348" t="s">
        <v>4</v>
      </c>
      <c r="M79" s="348" t="s">
        <v>983</v>
      </c>
      <c r="N79" s="348" t="s">
        <v>1246</v>
      </c>
      <c r="O79" s="348" t="s">
        <v>975</v>
      </c>
      <c r="P79" s="348" t="s">
        <v>222</v>
      </c>
      <c r="Q79" s="348" t="s">
        <v>223</v>
      </c>
      <c r="R79" s="348"/>
      <c r="S79" s="348" t="s">
        <v>1539</v>
      </c>
      <c r="T79" s="348" t="s">
        <v>224</v>
      </c>
      <c r="U79" s="348" t="s">
        <v>40</v>
      </c>
      <c r="V79" s="348" t="s">
        <v>983</v>
      </c>
      <c r="W79" s="348" t="s">
        <v>46</v>
      </c>
      <c r="X79" s="348">
        <f t="shared" si="1"/>
        <v>20</v>
      </c>
    </row>
    <row r="80" spans="1:24" ht="156.75" x14ac:dyDescent="0.2">
      <c r="A80" s="361" t="s">
        <v>225</v>
      </c>
      <c r="B80" s="361" t="s">
        <v>1533</v>
      </c>
      <c r="C80" s="348">
        <v>0</v>
      </c>
      <c r="D80" s="348">
        <v>0</v>
      </c>
      <c r="E80" s="348">
        <v>1</v>
      </c>
      <c r="F80" s="348">
        <v>0</v>
      </c>
      <c r="G80" s="348">
        <v>0</v>
      </c>
      <c r="H80" s="348">
        <v>0</v>
      </c>
      <c r="I80" s="348">
        <v>0</v>
      </c>
      <c r="J80" s="348">
        <v>0</v>
      </c>
      <c r="K80" s="348"/>
      <c r="L80" s="348" t="s">
        <v>4</v>
      </c>
      <c r="M80" s="348" t="s">
        <v>983</v>
      </c>
      <c r="N80" s="348" t="s">
        <v>1246</v>
      </c>
      <c r="O80" s="348" t="s">
        <v>975</v>
      </c>
      <c r="P80" s="348" t="s">
        <v>227</v>
      </c>
      <c r="Q80" s="348" t="s">
        <v>228</v>
      </c>
      <c r="R80" s="348"/>
      <c r="S80" s="348" t="s">
        <v>1540</v>
      </c>
      <c r="T80" s="348" t="s">
        <v>229</v>
      </c>
      <c r="U80" s="348" t="s">
        <v>40</v>
      </c>
      <c r="V80" s="348" t="s">
        <v>983</v>
      </c>
      <c r="W80" s="348" t="s">
        <v>46</v>
      </c>
      <c r="X80" s="348">
        <f t="shared" si="1"/>
        <v>20</v>
      </c>
    </row>
    <row r="81" spans="1:24" ht="156.75" x14ac:dyDescent="0.2">
      <c r="A81" s="361" t="s">
        <v>226</v>
      </c>
      <c r="B81" s="361" t="s">
        <v>1534</v>
      </c>
      <c r="C81" s="348">
        <v>0</v>
      </c>
      <c r="D81" s="348">
        <v>0</v>
      </c>
      <c r="E81" s="348">
        <v>1</v>
      </c>
      <c r="F81" s="348">
        <v>0</v>
      </c>
      <c r="G81" s="348">
        <v>0</v>
      </c>
      <c r="H81" s="348">
        <v>0</v>
      </c>
      <c r="I81" s="348">
        <v>0</v>
      </c>
      <c r="J81" s="348">
        <v>0</v>
      </c>
      <c r="K81" s="348"/>
      <c r="L81" s="348" t="s">
        <v>4</v>
      </c>
      <c r="M81" s="348" t="s">
        <v>983</v>
      </c>
      <c r="N81" s="348" t="s">
        <v>1246</v>
      </c>
      <c r="O81" s="348" t="s">
        <v>1875</v>
      </c>
      <c r="P81" s="348" t="s">
        <v>975</v>
      </c>
      <c r="Q81" s="348" t="s">
        <v>231</v>
      </c>
      <c r="R81" s="348"/>
      <c r="S81" s="348" t="s">
        <v>1540</v>
      </c>
      <c r="T81" s="348" t="s">
        <v>232</v>
      </c>
      <c r="U81" s="348" t="s">
        <v>148</v>
      </c>
      <c r="V81" s="348" t="s">
        <v>983</v>
      </c>
      <c r="W81" s="348" t="s">
        <v>46</v>
      </c>
      <c r="X81" s="348">
        <f t="shared" si="1"/>
        <v>20</v>
      </c>
    </row>
    <row r="82" spans="1:24" ht="171" x14ac:dyDescent="0.2">
      <c r="A82" s="361" t="s">
        <v>230</v>
      </c>
      <c r="B82" s="361" t="s">
        <v>1535</v>
      </c>
      <c r="C82" s="348">
        <v>0</v>
      </c>
      <c r="D82" s="348">
        <v>0</v>
      </c>
      <c r="E82" s="348">
        <v>1</v>
      </c>
      <c r="F82" s="348">
        <v>0</v>
      </c>
      <c r="G82" s="348">
        <v>0</v>
      </c>
      <c r="H82" s="348">
        <v>0</v>
      </c>
      <c r="I82" s="348">
        <v>0</v>
      </c>
      <c r="J82" s="348">
        <v>0</v>
      </c>
      <c r="K82" s="348"/>
      <c r="L82" s="348" t="s">
        <v>4</v>
      </c>
      <c r="M82" s="348" t="s">
        <v>983</v>
      </c>
      <c r="N82" s="348" t="s">
        <v>1246</v>
      </c>
      <c r="O82" s="348" t="s">
        <v>975</v>
      </c>
      <c r="P82" s="348" t="s">
        <v>234</v>
      </c>
      <c r="Q82" s="348" t="s">
        <v>235</v>
      </c>
      <c r="R82" s="348"/>
      <c r="S82" s="348" t="s">
        <v>1541</v>
      </c>
      <c r="T82" s="348" t="s">
        <v>1265</v>
      </c>
      <c r="U82" s="348" t="s">
        <v>40</v>
      </c>
      <c r="V82" s="348" t="s">
        <v>983</v>
      </c>
      <c r="W82" s="348" t="s">
        <v>46</v>
      </c>
      <c r="X82" s="348">
        <f t="shared" si="1"/>
        <v>20</v>
      </c>
    </row>
    <row r="83" spans="1:24" ht="156.75" x14ac:dyDescent="0.2">
      <c r="A83" s="361" t="s">
        <v>233</v>
      </c>
      <c r="B83" s="361" t="s">
        <v>995</v>
      </c>
      <c r="C83" s="348">
        <v>0</v>
      </c>
      <c r="D83" s="348">
        <v>0</v>
      </c>
      <c r="E83" s="348">
        <v>1</v>
      </c>
      <c r="F83" s="348">
        <v>0</v>
      </c>
      <c r="G83" s="348">
        <v>0</v>
      </c>
      <c r="H83" s="348">
        <v>0</v>
      </c>
      <c r="I83" s="348">
        <v>0</v>
      </c>
      <c r="J83" s="348">
        <v>0</v>
      </c>
      <c r="K83" s="348"/>
      <c r="L83" s="348" t="s">
        <v>4</v>
      </c>
      <c r="M83" s="348" t="s">
        <v>983</v>
      </c>
      <c r="N83" s="348" t="s">
        <v>1246</v>
      </c>
      <c r="O83" s="348" t="s">
        <v>975</v>
      </c>
      <c r="P83" s="348" t="s">
        <v>237</v>
      </c>
      <c r="Q83" s="348" t="s">
        <v>238</v>
      </c>
      <c r="R83" s="348"/>
      <c r="S83" s="348" t="s">
        <v>1266</v>
      </c>
      <c r="T83" s="348" t="s">
        <v>1267</v>
      </c>
      <c r="U83" s="348" t="s">
        <v>40</v>
      </c>
      <c r="V83" s="348" t="s">
        <v>983</v>
      </c>
      <c r="W83" s="348" t="s">
        <v>46</v>
      </c>
      <c r="X83" s="348">
        <f t="shared" si="1"/>
        <v>20</v>
      </c>
    </row>
    <row r="84" spans="1:24" ht="156.75" x14ac:dyDescent="0.2">
      <c r="A84" s="361" t="s">
        <v>236</v>
      </c>
      <c r="B84" s="361" t="s">
        <v>1177</v>
      </c>
      <c r="C84" s="348">
        <v>0</v>
      </c>
      <c r="D84" s="348">
        <v>0</v>
      </c>
      <c r="E84" s="348">
        <v>1</v>
      </c>
      <c r="F84" s="348">
        <v>0</v>
      </c>
      <c r="G84" s="348">
        <v>0</v>
      </c>
      <c r="H84" s="348">
        <v>0</v>
      </c>
      <c r="I84" s="348">
        <v>0</v>
      </c>
      <c r="J84" s="348">
        <v>0</v>
      </c>
      <c r="K84" s="348"/>
      <c r="L84" s="348" t="s">
        <v>4</v>
      </c>
      <c r="M84" s="348" t="s">
        <v>983</v>
      </c>
      <c r="N84" s="348" t="s">
        <v>1246</v>
      </c>
      <c r="O84" s="348" t="s">
        <v>975</v>
      </c>
      <c r="P84" s="348" t="s">
        <v>975</v>
      </c>
      <c r="Q84" s="348" t="s">
        <v>1178</v>
      </c>
      <c r="R84" s="348"/>
      <c r="S84" s="348" t="s">
        <v>1268</v>
      </c>
      <c r="T84" s="348" t="s">
        <v>1269</v>
      </c>
      <c r="U84" s="348" t="s">
        <v>148</v>
      </c>
      <c r="V84" s="348" t="s">
        <v>983</v>
      </c>
      <c r="W84" s="348" t="s">
        <v>46</v>
      </c>
      <c r="X84" s="348">
        <f t="shared" si="1"/>
        <v>20</v>
      </c>
    </row>
    <row r="85" spans="1:24" ht="85.5" x14ac:dyDescent="0.2">
      <c r="A85" s="361" t="s">
        <v>239</v>
      </c>
      <c r="B85" s="361" t="s">
        <v>996</v>
      </c>
      <c r="C85" s="348">
        <v>0</v>
      </c>
      <c r="D85" s="348">
        <v>0</v>
      </c>
      <c r="E85" s="348">
        <v>1</v>
      </c>
      <c r="F85" s="348">
        <v>0</v>
      </c>
      <c r="G85" s="348">
        <v>0</v>
      </c>
      <c r="H85" s="348">
        <v>0</v>
      </c>
      <c r="I85" s="348">
        <v>0</v>
      </c>
      <c r="J85" s="348">
        <v>0</v>
      </c>
      <c r="K85" s="348"/>
      <c r="L85" s="348" t="s">
        <v>4</v>
      </c>
      <c r="M85" s="348" t="s">
        <v>983</v>
      </c>
      <c r="N85" s="348" t="s">
        <v>1246</v>
      </c>
      <c r="O85" s="348" t="s">
        <v>975</v>
      </c>
      <c r="P85" s="348" t="s">
        <v>975</v>
      </c>
      <c r="Q85" s="348" t="s">
        <v>262</v>
      </c>
      <c r="R85" s="348"/>
      <c r="S85" s="348" t="s">
        <v>263</v>
      </c>
      <c r="T85" s="348" t="s">
        <v>264</v>
      </c>
      <c r="U85" s="348" t="s">
        <v>148</v>
      </c>
      <c r="V85" s="348" t="s">
        <v>983</v>
      </c>
      <c r="W85" s="348" t="s">
        <v>46</v>
      </c>
      <c r="X85" s="348">
        <f t="shared" si="1"/>
        <v>20</v>
      </c>
    </row>
    <row r="86" spans="1:24" ht="199.5" x14ac:dyDescent="0.2">
      <c r="A86" s="361" t="s">
        <v>242</v>
      </c>
      <c r="B86" s="361" t="s">
        <v>997</v>
      </c>
      <c r="C86" s="348">
        <v>0</v>
      </c>
      <c r="D86" s="348">
        <v>0</v>
      </c>
      <c r="E86" s="348">
        <v>1</v>
      </c>
      <c r="F86" s="348">
        <v>0</v>
      </c>
      <c r="G86" s="348">
        <v>0</v>
      </c>
      <c r="H86" s="348">
        <v>0</v>
      </c>
      <c r="I86" s="348">
        <v>0</v>
      </c>
      <c r="J86" s="348">
        <v>1</v>
      </c>
      <c r="K86" s="348"/>
      <c r="L86" s="348" t="s">
        <v>4</v>
      </c>
      <c r="M86" s="348" t="s">
        <v>983</v>
      </c>
      <c r="N86" s="348" t="s">
        <v>1246</v>
      </c>
      <c r="O86" s="348" t="s">
        <v>975</v>
      </c>
      <c r="P86" s="348" t="s">
        <v>269</v>
      </c>
      <c r="Q86" s="348" t="s">
        <v>975</v>
      </c>
      <c r="R86" s="348"/>
      <c r="S86" s="348" t="s">
        <v>270</v>
      </c>
      <c r="T86" s="348" t="s">
        <v>1270</v>
      </c>
      <c r="U86" s="348" t="s">
        <v>40</v>
      </c>
      <c r="V86" s="348" t="s">
        <v>983</v>
      </c>
      <c r="W86" s="348" t="s">
        <v>46</v>
      </c>
      <c r="X86" s="348">
        <f t="shared" si="1"/>
        <v>20</v>
      </c>
    </row>
    <row r="87" spans="1:24" ht="242.25" x14ac:dyDescent="0.2">
      <c r="A87" s="361" t="s">
        <v>245</v>
      </c>
      <c r="B87" s="361" t="s">
        <v>1077</v>
      </c>
      <c r="C87" s="348">
        <v>0</v>
      </c>
      <c r="D87" s="348">
        <v>0</v>
      </c>
      <c r="E87" s="348">
        <v>1</v>
      </c>
      <c r="F87" s="348">
        <v>0</v>
      </c>
      <c r="G87" s="348">
        <v>0</v>
      </c>
      <c r="H87" s="348">
        <v>0</v>
      </c>
      <c r="I87" s="348">
        <v>0</v>
      </c>
      <c r="J87" s="348">
        <v>0</v>
      </c>
      <c r="K87" s="348"/>
      <c r="L87" s="348" t="s">
        <v>1004</v>
      </c>
      <c r="M87" s="348" t="s">
        <v>983</v>
      </c>
      <c r="N87" s="348" t="s">
        <v>1246</v>
      </c>
      <c r="O87" s="348" t="s">
        <v>1428</v>
      </c>
      <c r="P87" s="348" t="s">
        <v>1428</v>
      </c>
      <c r="Q87" s="348" t="s">
        <v>1428</v>
      </c>
      <c r="R87" s="348"/>
      <c r="S87" s="348" t="s">
        <v>272</v>
      </c>
      <c r="T87" s="348" t="s">
        <v>1270</v>
      </c>
      <c r="U87" s="348" t="s">
        <v>1004</v>
      </c>
      <c r="V87" s="348" t="s">
        <v>983</v>
      </c>
      <c r="W87" s="348"/>
      <c r="X87" s="348"/>
    </row>
    <row r="88" spans="1:24" ht="199.5" x14ac:dyDescent="0.2">
      <c r="A88" s="361" t="s">
        <v>249</v>
      </c>
      <c r="B88" s="361" t="s">
        <v>1427</v>
      </c>
      <c r="C88" s="348">
        <v>0</v>
      </c>
      <c r="D88" s="348">
        <v>0</v>
      </c>
      <c r="E88" s="348">
        <v>1</v>
      </c>
      <c r="F88" s="348">
        <v>0</v>
      </c>
      <c r="G88" s="348">
        <v>0</v>
      </c>
      <c r="H88" s="348">
        <v>0</v>
      </c>
      <c r="I88" s="348">
        <v>0</v>
      </c>
      <c r="J88" s="348">
        <v>1</v>
      </c>
      <c r="K88" s="348"/>
      <c r="L88" s="348" t="s">
        <v>4</v>
      </c>
      <c r="M88" s="348" t="s">
        <v>983</v>
      </c>
      <c r="N88" s="348" t="s">
        <v>1246</v>
      </c>
      <c r="O88" s="348" t="s">
        <v>1473</v>
      </c>
      <c r="P88" s="348" t="s">
        <v>1473</v>
      </c>
      <c r="Q88" s="348" t="s">
        <v>1473</v>
      </c>
      <c r="R88" s="348"/>
      <c r="S88" s="348" t="s">
        <v>1271</v>
      </c>
      <c r="T88" s="348" t="s">
        <v>273</v>
      </c>
      <c r="U88" s="348" t="s">
        <v>40</v>
      </c>
      <c r="V88" s="348" t="s">
        <v>983</v>
      </c>
      <c r="W88" s="348" t="s">
        <v>46</v>
      </c>
      <c r="X88" s="348">
        <f t="shared" si="1"/>
        <v>20</v>
      </c>
    </row>
    <row r="89" spans="1:24" ht="256.5" x14ac:dyDescent="0.2">
      <c r="A89" s="348" t="s">
        <v>253</v>
      </c>
      <c r="B89" s="348" t="s">
        <v>1536</v>
      </c>
      <c r="C89" s="348">
        <v>0</v>
      </c>
      <c r="D89" s="348">
        <v>0</v>
      </c>
      <c r="E89" s="348">
        <v>1</v>
      </c>
      <c r="F89" s="348">
        <v>0</v>
      </c>
      <c r="G89" s="348">
        <v>0</v>
      </c>
      <c r="H89" s="348">
        <v>0</v>
      </c>
      <c r="I89" s="348">
        <v>0</v>
      </c>
      <c r="J89" s="348">
        <v>0</v>
      </c>
      <c r="K89" s="348"/>
      <c r="L89" s="348" t="s">
        <v>4</v>
      </c>
      <c r="M89" s="348" t="s">
        <v>983</v>
      </c>
      <c r="N89" s="348" t="s">
        <v>1246</v>
      </c>
      <c r="O89" s="348" t="s">
        <v>975</v>
      </c>
      <c r="P89" s="348" t="s">
        <v>240</v>
      </c>
      <c r="Q89" s="348" t="s">
        <v>241</v>
      </c>
      <c r="R89" s="348"/>
      <c r="S89" s="348" t="s">
        <v>1542</v>
      </c>
      <c r="T89" s="348" t="s">
        <v>1272</v>
      </c>
      <c r="U89" s="348" t="s">
        <v>40</v>
      </c>
      <c r="V89" s="348" t="s">
        <v>983</v>
      </c>
      <c r="W89" s="348" t="s">
        <v>75</v>
      </c>
      <c r="X89" s="348">
        <f t="shared" si="1"/>
        <v>10</v>
      </c>
    </row>
    <row r="90" spans="1:24" ht="142.5" x14ac:dyDescent="0.2">
      <c r="A90" s="348" t="s">
        <v>255</v>
      </c>
      <c r="B90" s="348" t="s">
        <v>250</v>
      </c>
      <c r="C90" s="348">
        <v>0</v>
      </c>
      <c r="D90" s="348">
        <v>0</v>
      </c>
      <c r="E90" s="348">
        <v>1</v>
      </c>
      <c r="F90" s="348">
        <v>0</v>
      </c>
      <c r="G90" s="348">
        <v>0</v>
      </c>
      <c r="H90" s="348">
        <v>0</v>
      </c>
      <c r="I90" s="348">
        <v>0</v>
      </c>
      <c r="J90" s="348">
        <v>0</v>
      </c>
      <c r="K90" s="348"/>
      <c r="L90" s="348" t="s">
        <v>4</v>
      </c>
      <c r="M90" s="348" t="s">
        <v>983</v>
      </c>
      <c r="N90" s="348" t="s">
        <v>1246</v>
      </c>
      <c r="O90" s="348" t="s">
        <v>975</v>
      </c>
      <c r="P90" s="348" t="s">
        <v>251</v>
      </c>
      <c r="Q90" s="348" t="s">
        <v>975</v>
      </c>
      <c r="R90" s="348"/>
      <c r="S90" s="348" t="s">
        <v>1273</v>
      </c>
      <c r="T90" s="348" t="s">
        <v>252</v>
      </c>
      <c r="U90" s="348" t="s">
        <v>40</v>
      </c>
      <c r="V90" s="348" t="s">
        <v>983</v>
      </c>
      <c r="W90" s="348" t="s">
        <v>75</v>
      </c>
      <c r="X90" s="348">
        <f t="shared" si="1"/>
        <v>10</v>
      </c>
    </row>
    <row r="91" spans="1:24" ht="242.25" x14ac:dyDescent="0.2">
      <c r="A91" s="348" t="s">
        <v>260</v>
      </c>
      <c r="B91" s="348" t="s">
        <v>1537</v>
      </c>
      <c r="C91" s="348">
        <v>0</v>
      </c>
      <c r="D91" s="348">
        <v>0</v>
      </c>
      <c r="E91" s="348">
        <v>1</v>
      </c>
      <c r="F91" s="348">
        <v>0</v>
      </c>
      <c r="G91" s="348">
        <v>0</v>
      </c>
      <c r="H91" s="348">
        <v>0</v>
      </c>
      <c r="I91" s="348">
        <v>0</v>
      </c>
      <c r="J91" s="348">
        <v>0</v>
      </c>
      <c r="K91" s="348"/>
      <c r="L91" s="348" t="s">
        <v>4</v>
      </c>
      <c r="M91" s="348" t="s">
        <v>983</v>
      </c>
      <c r="N91" s="348" t="s">
        <v>1246</v>
      </c>
      <c r="O91" s="348" t="s">
        <v>975</v>
      </c>
      <c r="P91" s="348" t="s">
        <v>266</v>
      </c>
      <c r="Q91" s="348" t="s">
        <v>267</v>
      </c>
      <c r="R91" s="348"/>
      <c r="S91" s="348" t="s">
        <v>1543</v>
      </c>
      <c r="T91" s="348" t="s">
        <v>1078</v>
      </c>
      <c r="U91" s="348" t="s">
        <v>40</v>
      </c>
      <c r="V91" s="348" t="s">
        <v>983</v>
      </c>
      <c r="W91" s="348" t="s">
        <v>75</v>
      </c>
      <c r="X91" s="348">
        <f t="shared" si="1"/>
        <v>10</v>
      </c>
    </row>
    <row r="92" spans="1:24" ht="185.25" x14ac:dyDescent="0.2">
      <c r="A92" s="348" t="s">
        <v>261</v>
      </c>
      <c r="B92" s="348" t="s">
        <v>1079</v>
      </c>
      <c r="C92" s="348">
        <v>0</v>
      </c>
      <c r="D92" s="348">
        <v>0</v>
      </c>
      <c r="E92" s="348">
        <v>1</v>
      </c>
      <c r="F92" s="348">
        <v>0</v>
      </c>
      <c r="G92" s="348">
        <v>0</v>
      </c>
      <c r="H92" s="348">
        <v>0</v>
      </c>
      <c r="I92" s="348">
        <v>0</v>
      </c>
      <c r="J92" s="348">
        <v>0</v>
      </c>
      <c r="K92" s="348"/>
      <c r="L92" s="348" t="s">
        <v>4</v>
      </c>
      <c r="M92" s="348" t="s">
        <v>983</v>
      </c>
      <c r="N92" s="348" t="s">
        <v>1246</v>
      </c>
      <c r="O92" s="348" t="s">
        <v>1080</v>
      </c>
      <c r="P92" s="348" t="s">
        <v>243</v>
      </c>
      <c r="Q92" s="348" t="s">
        <v>244</v>
      </c>
      <c r="R92" s="348"/>
      <c r="S92" s="348" t="s">
        <v>219</v>
      </c>
      <c r="T92" s="348" t="s">
        <v>220</v>
      </c>
      <c r="U92" s="348" t="s">
        <v>40</v>
      </c>
      <c r="V92" s="348" t="s">
        <v>983</v>
      </c>
      <c r="W92" s="348" t="s">
        <v>41</v>
      </c>
      <c r="X92" s="348">
        <f t="shared" si="1"/>
        <v>5</v>
      </c>
    </row>
    <row r="93" spans="1:24" ht="142.5" x14ac:dyDescent="0.2">
      <c r="A93" s="348" t="s">
        <v>265</v>
      </c>
      <c r="B93" s="348" t="s">
        <v>246</v>
      </c>
      <c r="C93" s="348">
        <v>0</v>
      </c>
      <c r="D93" s="348">
        <v>0</v>
      </c>
      <c r="E93" s="348">
        <v>1</v>
      </c>
      <c r="F93" s="348">
        <v>0</v>
      </c>
      <c r="G93" s="348">
        <v>0</v>
      </c>
      <c r="H93" s="348">
        <v>0</v>
      </c>
      <c r="I93" s="348">
        <v>0</v>
      </c>
      <c r="J93" s="348">
        <v>0</v>
      </c>
      <c r="K93" s="348"/>
      <c r="L93" s="348" t="s">
        <v>4</v>
      </c>
      <c r="M93" s="348" t="s">
        <v>983</v>
      </c>
      <c r="N93" s="348" t="s">
        <v>1246</v>
      </c>
      <c r="O93" s="348" t="s">
        <v>975</v>
      </c>
      <c r="P93" s="348" t="s">
        <v>247</v>
      </c>
      <c r="Q93" s="348" t="s">
        <v>975</v>
      </c>
      <c r="R93" s="348"/>
      <c r="S93" s="348" t="s">
        <v>1273</v>
      </c>
      <c r="T93" s="348" t="s">
        <v>248</v>
      </c>
      <c r="U93" s="348" t="s">
        <v>40</v>
      </c>
      <c r="V93" s="348" t="s">
        <v>983</v>
      </c>
      <c r="W93" s="348" t="s">
        <v>41</v>
      </c>
      <c r="X93" s="348">
        <f t="shared" si="1"/>
        <v>5</v>
      </c>
    </row>
    <row r="94" spans="1:24" ht="185.25" x14ac:dyDescent="0.2">
      <c r="A94" s="348" t="s">
        <v>268</v>
      </c>
      <c r="B94" s="348" t="s">
        <v>1538</v>
      </c>
      <c r="C94" s="348">
        <v>0</v>
      </c>
      <c r="D94" s="348">
        <v>0</v>
      </c>
      <c r="E94" s="348">
        <v>1</v>
      </c>
      <c r="F94" s="348">
        <v>0</v>
      </c>
      <c r="G94" s="348">
        <v>0</v>
      </c>
      <c r="H94" s="348">
        <v>0</v>
      </c>
      <c r="I94" s="348">
        <v>0</v>
      </c>
      <c r="J94" s="348">
        <v>1</v>
      </c>
      <c r="K94" s="348"/>
      <c r="L94" s="348" t="s">
        <v>4</v>
      </c>
      <c r="M94" s="348" t="s">
        <v>983</v>
      </c>
      <c r="N94" s="348" t="s">
        <v>1246</v>
      </c>
      <c r="O94" s="348" t="s">
        <v>975</v>
      </c>
      <c r="P94" s="348" t="s">
        <v>1081</v>
      </c>
      <c r="Q94" s="348" t="s">
        <v>1179</v>
      </c>
      <c r="R94" s="348"/>
      <c r="S94" s="348" t="s">
        <v>1544</v>
      </c>
      <c r="T94" s="348" t="s">
        <v>1274</v>
      </c>
      <c r="U94" s="348" t="s">
        <v>40</v>
      </c>
      <c r="V94" s="348" t="s">
        <v>983</v>
      </c>
      <c r="W94" s="348" t="s">
        <v>41</v>
      </c>
      <c r="X94" s="348">
        <f t="shared" si="1"/>
        <v>5</v>
      </c>
    </row>
    <row r="95" spans="1:24" ht="71.25" x14ac:dyDescent="0.2">
      <c r="A95" s="348" t="s">
        <v>271</v>
      </c>
      <c r="B95" s="348" t="s">
        <v>1082</v>
      </c>
      <c r="C95" s="348">
        <v>0</v>
      </c>
      <c r="D95" s="348">
        <v>0</v>
      </c>
      <c r="E95" s="348">
        <v>1</v>
      </c>
      <c r="F95" s="348">
        <v>0</v>
      </c>
      <c r="G95" s="348">
        <v>0</v>
      </c>
      <c r="H95" s="348">
        <v>0</v>
      </c>
      <c r="I95" s="348">
        <v>0</v>
      </c>
      <c r="J95" s="348">
        <v>1</v>
      </c>
      <c r="K95" s="348"/>
      <c r="L95" s="348" t="s">
        <v>4</v>
      </c>
      <c r="M95" s="348" t="s">
        <v>983</v>
      </c>
      <c r="N95" s="348" t="s">
        <v>1246</v>
      </c>
      <c r="O95" s="348" t="s">
        <v>975</v>
      </c>
      <c r="P95" s="348" t="s">
        <v>256</v>
      </c>
      <c r="Q95" s="348" t="s">
        <v>257</v>
      </c>
      <c r="R95" s="348"/>
      <c r="S95" s="348" t="s">
        <v>258</v>
      </c>
      <c r="T95" s="348" t="s">
        <v>259</v>
      </c>
      <c r="U95" s="348" t="s">
        <v>40</v>
      </c>
      <c r="V95" s="348" t="s">
        <v>983</v>
      </c>
      <c r="W95" s="348" t="s">
        <v>41</v>
      </c>
      <c r="X95" s="348">
        <f t="shared" si="1"/>
        <v>5</v>
      </c>
    </row>
    <row r="96" spans="1:24" ht="128.25" x14ac:dyDescent="0.2">
      <c r="A96" s="362" t="s">
        <v>274</v>
      </c>
      <c r="B96" s="361" t="s">
        <v>998</v>
      </c>
      <c r="C96" s="348">
        <v>0</v>
      </c>
      <c r="D96" s="348">
        <v>1</v>
      </c>
      <c r="E96" s="348">
        <v>0</v>
      </c>
      <c r="F96" s="348">
        <v>0</v>
      </c>
      <c r="G96" s="348">
        <v>0</v>
      </c>
      <c r="H96" s="348">
        <v>0</v>
      </c>
      <c r="I96" s="348">
        <v>0</v>
      </c>
      <c r="J96" s="348">
        <v>0</v>
      </c>
      <c r="K96" s="348"/>
      <c r="L96" s="348" t="s">
        <v>131</v>
      </c>
      <c r="M96" s="348" t="s">
        <v>983</v>
      </c>
      <c r="N96" s="348" t="s">
        <v>975</v>
      </c>
      <c r="O96" s="348" t="s">
        <v>975</v>
      </c>
      <c r="P96" s="348" t="s">
        <v>282</v>
      </c>
      <c r="Q96" s="348" t="s">
        <v>283</v>
      </c>
      <c r="R96" s="348"/>
      <c r="S96" s="348" t="s">
        <v>284</v>
      </c>
      <c r="T96" s="348" t="s">
        <v>1275</v>
      </c>
      <c r="U96" s="348" t="s">
        <v>40</v>
      </c>
      <c r="V96" s="348" t="s">
        <v>983</v>
      </c>
      <c r="W96" s="348" t="s">
        <v>46</v>
      </c>
      <c r="X96" s="348">
        <f t="shared" si="1"/>
        <v>20</v>
      </c>
    </row>
    <row r="97" spans="1:24" ht="185.25" x14ac:dyDescent="0.2">
      <c r="A97" s="362" t="s">
        <v>279</v>
      </c>
      <c r="B97" s="361" t="s">
        <v>999</v>
      </c>
      <c r="C97" s="348">
        <v>0</v>
      </c>
      <c r="D97" s="348">
        <v>1</v>
      </c>
      <c r="E97" s="348">
        <v>0</v>
      </c>
      <c r="F97" s="348">
        <v>0</v>
      </c>
      <c r="G97" s="348">
        <v>0</v>
      </c>
      <c r="H97" s="348">
        <v>0</v>
      </c>
      <c r="I97" s="348">
        <v>0</v>
      </c>
      <c r="J97" s="348">
        <v>0</v>
      </c>
      <c r="K97" s="348"/>
      <c r="L97" s="348" t="s">
        <v>131</v>
      </c>
      <c r="M97" s="348" t="s">
        <v>983</v>
      </c>
      <c r="N97" s="348" t="s">
        <v>975</v>
      </c>
      <c r="O97" s="348" t="s">
        <v>293</v>
      </c>
      <c r="P97" s="348" t="s">
        <v>294</v>
      </c>
      <c r="Q97" s="348" t="s">
        <v>295</v>
      </c>
      <c r="R97" s="356" t="s">
        <v>1567</v>
      </c>
      <c r="S97" s="348" t="s">
        <v>1276</v>
      </c>
      <c r="T97" s="348" t="s">
        <v>1277</v>
      </c>
      <c r="U97" s="348" t="s">
        <v>40</v>
      </c>
      <c r="V97" s="348" t="s">
        <v>983</v>
      </c>
      <c r="W97" s="348" t="s">
        <v>46</v>
      </c>
      <c r="X97" s="348">
        <f t="shared" si="1"/>
        <v>20</v>
      </c>
    </row>
    <row r="98" spans="1:24" ht="228" x14ac:dyDescent="0.2">
      <c r="A98" s="362" t="s">
        <v>280</v>
      </c>
      <c r="B98" s="361" t="s">
        <v>1866</v>
      </c>
      <c r="C98" s="348">
        <v>0</v>
      </c>
      <c r="D98" s="348">
        <v>1</v>
      </c>
      <c r="E98" s="348">
        <v>0</v>
      </c>
      <c r="F98" s="348">
        <v>0</v>
      </c>
      <c r="G98" s="348">
        <v>0</v>
      </c>
      <c r="H98" s="348">
        <v>0</v>
      </c>
      <c r="I98" s="348">
        <v>0</v>
      </c>
      <c r="J98" s="348">
        <v>0</v>
      </c>
      <c r="K98" s="348"/>
      <c r="L98" s="348" t="s">
        <v>131</v>
      </c>
      <c r="M98" s="348" t="s">
        <v>983</v>
      </c>
      <c r="N98" s="348" t="s">
        <v>975</v>
      </c>
      <c r="O98" s="348" t="s">
        <v>975</v>
      </c>
      <c r="P98" s="348" t="s">
        <v>320</v>
      </c>
      <c r="Q98" s="348" t="s">
        <v>1876</v>
      </c>
      <c r="R98" s="356" t="s">
        <v>1567</v>
      </c>
      <c r="S98" s="348" t="s">
        <v>1278</v>
      </c>
      <c r="T98" s="348" t="s">
        <v>1393</v>
      </c>
      <c r="U98" s="348" t="s">
        <v>40</v>
      </c>
      <c r="V98" s="348" t="s">
        <v>983</v>
      </c>
      <c r="W98" s="348" t="s">
        <v>46</v>
      </c>
      <c r="X98" s="348">
        <f t="shared" si="1"/>
        <v>20</v>
      </c>
    </row>
    <row r="99" spans="1:24" ht="142.5" x14ac:dyDescent="0.2">
      <c r="A99" s="225" t="s">
        <v>281</v>
      </c>
      <c r="B99" s="348" t="s">
        <v>275</v>
      </c>
      <c r="C99" s="348">
        <v>0</v>
      </c>
      <c r="D99" s="348">
        <v>1</v>
      </c>
      <c r="E99" s="348">
        <v>0</v>
      </c>
      <c r="F99" s="348">
        <v>0</v>
      </c>
      <c r="G99" s="348">
        <v>0</v>
      </c>
      <c r="H99" s="348">
        <v>0</v>
      </c>
      <c r="I99" s="348">
        <v>0</v>
      </c>
      <c r="J99" s="348">
        <v>1</v>
      </c>
      <c r="K99" s="348"/>
      <c r="L99" s="348" t="s">
        <v>131</v>
      </c>
      <c r="M99" s="348" t="s">
        <v>72</v>
      </c>
      <c r="N99" s="348" t="s">
        <v>975</v>
      </c>
      <c r="O99" s="348" t="s">
        <v>975</v>
      </c>
      <c r="P99" s="348" t="s">
        <v>90</v>
      </c>
      <c r="Q99" s="348" t="s">
        <v>276</v>
      </c>
      <c r="R99" s="348"/>
      <c r="S99" s="348" t="s">
        <v>277</v>
      </c>
      <c r="T99" s="348" t="s">
        <v>278</v>
      </c>
      <c r="U99" s="348" t="s">
        <v>40</v>
      </c>
      <c r="V99" s="348" t="s">
        <v>983</v>
      </c>
      <c r="W99" s="348" t="s">
        <v>75</v>
      </c>
      <c r="X99" s="348">
        <f t="shared" si="1"/>
        <v>10</v>
      </c>
    </row>
    <row r="100" spans="1:24" ht="232.5" customHeight="1" x14ac:dyDescent="0.2">
      <c r="A100" s="225" t="s">
        <v>285</v>
      </c>
      <c r="B100" s="348" t="s">
        <v>1083</v>
      </c>
      <c r="C100" s="348">
        <v>0</v>
      </c>
      <c r="D100" s="348">
        <v>1</v>
      </c>
      <c r="E100" s="348">
        <v>0</v>
      </c>
      <c r="F100" s="348">
        <v>0</v>
      </c>
      <c r="G100" s="348">
        <v>0</v>
      </c>
      <c r="H100" s="348">
        <v>0</v>
      </c>
      <c r="I100" s="348">
        <v>0</v>
      </c>
      <c r="J100" s="348">
        <v>1</v>
      </c>
      <c r="K100" s="348"/>
      <c r="L100" s="348" t="s">
        <v>131</v>
      </c>
      <c r="M100" s="348" t="s">
        <v>983</v>
      </c>
      <c r="N100" s="348" t="s">
        <v>975</v>
      </c>
      <c r="O100" s="348" t="s">
        <v>975</v>
      </c>
      <c r="P100" s="348" t="s">
        <v>1084</v>
      </c>
      <c r="Q100" s="348" t="s">
        <v>1429</v>
      </c>
      <c r="R100" s="348"/>
      <c r="S100" s="348" t="s">
        <v>1085</v>
      </c>
      <c r="T100" s="348" t="s">
        <v>1279</v>
      </c>
      <c r="U100" s="348" t="s">
        <v>40</v>
      </c>
      <c r="V100" s="348" t="s">
        <v>983</v>
      </c>
      <c r="W100" s="348" t="s">
        <v>75</v>
      </c>
      <c r="X100" s="348">
        <f t="shared" si="1"/>
        <v>10</v>
      </c>
    </row>
    <row r="101" spans="1:24" ht="139.5" customHeight="1" x14ac:dyDescent="0.2">
      <c r="A101" s="225" t="s">
        <v>288</v>
      </c>
      <c r="B101" s="348" t="s">
        <v>1086</v>
      </c>
      <c r="C101" s="348">
        <v>0</v>
      </c>
      <c r="D101" s="348">
        <v>1</v>
      </c>
      <c r="E101" s="348">
        <v>0</v>
      </c>
      <c r="F101" s="348">
        <v>0</v>
      </c>
      <c r="G101" s="348">
        <v>0</v>
      </c>
      <c r="H101" s="348">
        <v>0</v>
      </c>
      <c r="I101" s="348">
        <v>0</v>
      </c>
      <c r="J101" s="348">
        <v>0</v>
      </c>
      <c r="K101" s="348"/>
      <c r="L101" s="348" t="s">
        <v>131</v>
      </c>
      <c r="M101" s="348" t="s">
        <v>983</v>
      </c>
      <c r="N101" s="348" t="s">
        <v>975</v>
      </c>
      <c r="O101" s="348" t="s">
        <v>975</v>
      </c>
      <c r="P101" s="348" t="s">
        <v>1877</v>
      </c>
      <c r="Q101" s="348" t="s">
        <v>1878</v>
      </c>
      <c r="R101" s="348"/>
      <c r="S101" s="348" t="s">
        <v>1280</v>
      </c>
      <c r="T101" s="348" t="s">
        <v>1281</v>
      </c>
      <c r="U101" s="348" t="s">
        <v>40</v>
      </c>
      <c r="V101" s="348" t="s">
        <v>983</v>
      </c>
      <c r="W101" s="348" t="s">
        <v>75</v>
      </c>
      <c r="X101" s="348">
        <f t="shared" si="1"/>
        <v>10</v>
      </c>
    </row>
    <row r="102" spans="1:24" ht="99.75" x14ac:dyDescent="0.2">
      <c r="A102" s="225" t="s">
        <v>292</v>
      </c>
      <c r="B102" s="348" t="s">
        <v>305</v>
      </c>
      <c r="C102" s="348">
        <v>0</v>
      </c>
      <c r="D102" s="348">
        <v>1</v>
      </c>
      <c r="E102" s="348">
        <v>0</v>
      </c>
      <c r="F102" s="348">
        <v>0</v>
      </c>
      <c r="G102" s="348">
        <v>0</v>
      </c>
      <c r="H102" s="348">
        <v>0</v>
      </c>
      <c r="I102" s="348">
        <v>0</v>
      </c>
      <c r="J102" s="348">
        <v>0</v>
      </c>
      <c r="K102" s="348"/>
      <c r="L102" s="348" t="s">
        <v>131</v>
      </c>
      <c r="M102" s="348" t="s">
        <v>983</v>
      </c>
      <c r="N102" s="348" t="s">
        <v>975</v>
      </c>
      <c r="O102" s="348" t="s">
        <v>975</v>
      </c>
      <c r="P102" s="348" t="s">
        <v>306</v>
      </c>
      <c r="Q102" s="348" t="s">
        <v>307</v>
      </c>
      <c r="R102" s="348"/>
      <c r="S102" s="348" t="s">
        <v>1282</v>
      </c>
      <c r="T102" s="348" t="s">
        <v>1283</v>
      </c>
      <c r="U102" s="348" t="s">
        <v>40</v>
      </c>
      <c r="V102" s="348" t="s">
        <v>983</v>
      </c>
      <c r="W102" s="348" t="s">
        <v>75</v>
      </c>
      <c r="X102" s="348">
        <f t="shared" si="1"/>
        <v>10</v>
      </c>
    </row>
    <row r="103" spans="1:24" ht="214.5" customHeight="1" x14ac:dyDescent="0.2">
      <c r="A103" s="225" t="s">
        <v>296</v>
      </c>
      <c r="B103" s="348" t="s">
        <v>1026</v>
      </c>
      <c r="C103" s="348">
        <v>0</v>
      </c>
      <c r="D103" s="348">
        <v>1</v>
      </c>
      <c r="E103" s="348">
        <v>0</v>
      </c>
      <c r="F103" s="348">
        <v>0</v>
      </c>
      <c r="G103" s="348">
        <v>0</v>
      </c>
      <c r="H103" s="348">
        <v>0</v>
      </c>
      <c r="I103" s="348">
        <v>0</v>
      </c>
      <c r="J103" s="348">
        <v>0</v>
      </c>
      <c r="K103" s="348"/>
      <c r="L103" s="348" t="s">
        <v>131</v>
      </c>
      <c r="M103" s="348" t="s">
        <v>983</v>
      </c>
      <c r="N103" s="348" t="s">
        <v>975</v>
      </c>
      <c r="O103" s="348" t="s">
        <v>975</v>
      </c>
      <c r="P103" s="348" t="s">
        <v>309</v>
      </c>
      <c r="Q103" s="348" t="s">
        <v>310</v>
      </c>
      <c r="R103" s="348"/>
      <c r="S103" s="348" t="s">
        <v>1284</v>
      </c>
      <c r="T103" s="348" t="s">
        <v>1285</v>
      </c>
      <c r="U103" s="348" t="s">
        <v>40</v>
      </c>
      <c r="V103" s="348" t="s">
        <v>983</v>
      </c>
      <c r="W103" s="348" t="s">
        <v>75</v>
      </c>
      <c r="X103" s="348">
        <f t="shared" si="1"/>
        <v>10</v>
      </c>
    </row>
    <row r="104" spans="1:24" ht="244.5" customHeight="1" x14ac:dyDescent="0.2">
      <c r="A104" s="225" t="s">
        <v>299</v>
      </c>
      <c r="B104" s="348" t="s">
        <v>286</v>
      </c>
      <c r="C104" s="348">
        <v>0</v>
      </c>
      <c r="D104" s="348">
        <v>1</v>
      </c>
      <c r="E104" s="348">
        <v>0</v>
      </c>
      <c r="F104" s="348">
        <v>0</v>
      </c>
      <c r="G104" s="348">
        <v>0</v>
      </c>
      <c r="H104" s="348">
        <v>0</v>
      </c>
      <c r="I104" s="348">
        <v>0</v>
      </c>
      <c r="J104" s="348">
        <v>0</v>
      </c>
      <c r="K104" s="348"/>
      <c r="L104" s="348" t="s">
        <v>131</v>
      </c>
      <c r="M104" s="348" t="s">
        <v>983</v>
      </c>
      <c r="N104" s="348" t="s">
        <v>975</v>
      </c>
      <c r="O104" s="348" t="s">
        <v>975</v>
      </c>
      <c r="P104" s="348" t="s">
        <v>287</v>
      </c>
      <c r="Q104" s="348" t="s">
        <v>1879</v>
      </c>
      <c r="R104" s="356" t="s">
        <v>1567</v>
      </c>
      <c r="S104" s="348" t="s">
        <v>1286</v>
      </c>
      <c r="T104" s="348" t="s">
        <v>1208</v>
      </c>
      <c r="U104" s="348" t="s">
        <v>40</v>
      </c>
      <c r="V104" s="348" t="s">
        <v>983</v>
      </c>
      <c r="W104" s="348" t="s">
        <v>41</v>
      </c>
      <c r="X104" s="348">
        <f t="shared" si="1"/>
        <v>5</v>
      </c>
    </row>
    <row r="105" spans="1:24" ht="128.25" x14ac:dyDescent="0.2">
      <c r="A105" s="225" t="s">
        <v>302</v>
      </c>
      <c r="B105" s="348" t="s">
        <v>289</v>
      </c>
      <c r="C105" s="348">
        <v>0</v>
      </c>
      <c r="D105" s="348">
        <v>1</v>
      </c>
      <c r="E105" s="348">
        <v>0</v>
      </c>
      <c r="F105" s="348">
        <v>0</v>
      </c>
      <c r="G105" s="348">
        <v>0</v>
      </c>
      <c r="H105" s="348">
        <v>0</v>
      </c>
      <c r="I105" s="348">
        <v>0</v>
      </c>
      <c r="J105" s="348">
        <v>0</v>
      </c>
      <c r="K105" s="348"/>
      <c r="L105" s="348" t="s">
        <v>131</v>
      </c>
      <c r="M105" s="348" t="s">
        <v>983</v>
      </c>
      <c r="N105" s="348" t="s">
        <v>975</v>
      </c>
      <c r="O105" s="348" t="s">
        <v>290</v>
      </c>
      <c r="P105" s="348" t="s">
        <v>1212</v>
      </c>
      <c r="Q105" s="348" t="s">
        <v>291</v>
      </c>
      <c r="R105" s="356" t="s">
        <v>1567</v>
      </c>
      <c r="S105" s="348" t="s">
        <v>1287</v>
      </c>
      <c r="T105" s="348" t="s">
        <v>1288</v>
      </c>
      <c r="U105" s="348" t="s">
        <v>40</v>
      </c>
      <c r="V105" s="348" t="s">
        <v>983</v>
      </c>
      <c r="W105" s="348" t="s">
        <v>41</v>
      </c>
      <c r="X105" s="348">
        <f t="shared" si="1"/>
        <v>5</v>
      </c>
    </row>
    <row r="106" spans="1:24" ht="114" x14ac:dyDescent="0.2">
      <c r="A106" s="225" t="s">
        <v>304</v>
      </c>
      <c r="B106" s="348" t="s">
        <v>297</v>
      </c>
      <c r="C106" s="348">
        <v>0</v>
      </c>
      <c r="D106" s="348">
        <v>1</v>
      </c>
      <c r="E106" s="348">
        <v>0</v>
      </c>
      <c r="F106" s="348">
        <v>0</v>
      </c>
      <c r="G106" s="348">
        <v>0</v>
      </c>
      <c r="H106" s="348">
        <v>0</v>
      </c>
      <c r="I106" s="348">
        <v>0</v>
      </c>
      <c r="J106" s="348">
        <v>0</v>
      </c>
      <c r="K106" s="348"/>
      <c r="L106" s="348" t="s">
        <v>131</v>
      </c>
      <c r="M106" s="348" t="s">
        <v>983</v>
      </c>
      <c r="N106" s="348" t="s">
        <v>975</v>
      </c>
      <c r="O106" s="348" t="s">
        <v>975</v>
      </c>
      <c r="P106" s="348" t="s">
        <v>298</v>
      </c>
      <c r="Q106" s="348" t="s">
        <v>1180</v>
      </c>
      <c r="R106" s="356" t="s">
        <v>1567</v>
      </c>
      <c r="S106" s="348" t="s">
        <v>1289</v>
      </c>
      <c r="T106" s="348" t="s">
        <v>1290</v>
      </c>
      <c r="U106" s="348" t="s">
        <v>40</v>
      </c>
      <c r="V106" s="348" t="s">
        <v>983</v>
      </c>
      <c r="W106" s="348" t="s">
        <v>41</v>
      </c>
      <c r="X106" s="348">
        <f t="shared" si="1"/>
        <v>5</v>
      </c>
    </row>
    <row r="107" spans="1:24" ht="85.5" x14ac:dyDescent="0.2">
      <c r="A107" s="225" t="s">
        <v>308</v>
      </c>
      <c r="B107" s="348" t="s">
        <v>1213</v>
      </c>
      <c r="C107" s="348">
        <v>0</v>
      </c>
      <c r="D107" s="348">
        <v>1</v>
      </c>
      <c r="E107" s="348">
        <v>0</v>
      </c>
      <c r="F107" s="348">
        <v>0</v>
      </c>
      <c r="G107" s="348">
        <v>0</v>
      </c>
      <c r="H107" s="348">
        <v>0</v>
      </c>
      <c r="I107" s="348">
        <v>0</v>
      </c>
      <c r="J107" s="348">
        <v>0</v>
      </c>
      <c r="K107" s="348"/>
      <c r="L107" s="348" t="s">
        <v>131</v>
      </c>
      <c r="M107" s="348" t="s">
        <v>983</v>
      </c>
      <c r="N107" s="348" t="s">
        <v>975</v>
      </c>
      <c r="O107" s="348" t="s">
        <v>975</v>
      </c>
      <c r="P107" s="348" t="s">
        <v>300</v>
      </c>
      <c r="Q107" s="348" t="s">
        <v>301</v>
      </c>
      <c r="R107" s="349" t="s">
        <v>1567</v>
      </c>
      <c r="S107" s="348" t="s">
        <v>1291</v>
      </c>
      <c r="T107" s="348" t="s">
        <v>1292</v>
      </c>
      <c r="U107" s="348" t="s">
        <v>40</v>
      </c>
      <c r="V107" s="348" t="s">
        <v>983</v>
      </c>
      <c r="W107" s="348" t="s">
        <v>41</v>
      </c>
      <c r="X107" s="348">
        <f t="shared" si="1"/>
        <v>5</v>
      </c>
    </row>
    <row r="108" spans="1:24" ht="276.75" customHeight="1" x14ac:dyDescent="0.2">
      <c r="A108" s="225" t="s">
        <v>311</v>
      </c>
      <c r="B108" s="348" t="s">
        <v>1181</v>
      </c>
      <c r="C108" s="348">
        <v>0</v>
      </c>
      <c r="D108" s="348">
        <v>1</v>
      </c>
      <c r="E108" s="348">
        <v>0</v>
      </c>
      <c r="F108" s="348">
        <v>0</v>
      </c>
      <c r="G108" s="348">
        <v>0</v>
      </c>
      <c r="H108" s="348">
        <v>0</v>
      </c>
      <c r="I108" s="348">
        <v>0</v>
      </c>
      <c r="J108" s="348">
        <v>0</v>
      </c>
      <c r="K108" s="348"/>
      <c r="L108" s="348" t="s">
        <v>131</v>
      </c>
      <c r="M108" s="348" t="s">
        <v>983</v>
      </c>
      <c r="N108" s="348" t="s">
        <v>975</v>
      </c>
      <c r="O108" s="348" t="s">
        <v>975</v>
      </c>
      <c r="P108" s="348" t="s">
        <v>1182</v>
      </c>
      <c r="Q108" s="348" t="s">
        <v>975</v>
      </c>
      <c r="R108" s="348"/>
      <c r="S108" s="348" t="s">
        <v>1293</v>
      </c>
      <c r="T108" s="348" t="s">
        <v>303</v>
      </c>
      <c r="U108" s="348" t="s">
        <v>40</v>
      </c>
      <c r="V108" s="348" t="s">
        <v>983</v>
      </c>
      <c r="W108" s="348" t="s">
        <v>41</v>
      </c>
      <c r="X108" s="348">
        <f t="shared" si="1"/>
        <v>5</v>
      </c>
    </row>
    <row r="109" spans="1:24" ht="174" customHeight="1" x14ac:dyDescent="0.2">
      <c r="A109" s="225" t="s">
        <v>315</v>
      </c>
      <c r="B109" s="348" t="s">
        <v>312</v>
      </c>
      <c r="C109" s="348">
        <v>0</v>
      </c>
      <c r="D109" s="348">
        <v>1</v>
      </c>
      <c r="E109" s="348">
        <v>0</v>
      </c>
      <c r="F109" s="348">
        <v>0</v>
      </c>
      <c r="G109" s="348">
        <v>0</v>
      </c>
      <c r="H109" s="348">
        <v>0</v>
      </c>
      <c r="I109" s="348">
        <v>0</v>
      </c>
      <c r="J109" s="348">
        <v>0</v>
      </c>
      <c r="K109" s="348"/>
      <c r="L109" s="348" t="s">
        <v>131</v>
      </c>
      <c r="M109" s="348" t="s">
        <v>983</v>
      </c>
      <c r="N109" s="348" t="s">
        <v>975</v>
      </c>
      <c r="O109" s="348" t="s">
        <v>975</v>
      </c>
      <c r="P109" s="348" t="s">
        <v>1880</v>
      </c>
      <c r="Q109" s="348" t="s">
        <v>313</v>
      </c>
      <c r="R109" s="348"/>
      <c r="S109" s="348" t="s">
        <v>314</v>
      </c>
      <c r="T109" s="348" t="s">
        <v>1279</v>
      </c>
      <c r="U109" s="348" t="s">
        <v>40</v>
      </c>
      <c r="V109" s="348" t="s">
        <v>983</v>
      </c>
      <c r="W109" s="348" t="s">
        <v>41</v>
      </c>
      <c r="X109" s="348">
        <f t="shared" si="1"/>
        <v>5</v>
      </c>
    </row>
    <row r="110" spans="1:24" ht="156.75" x14ac:dyDescent="0.2">
      <c r="A110" s="225" t="s">
        <v>319</v>
      </c>
      <c r="B110" s="348" t="s">
        <v>316</v>
      </c>
      <c r="C110" s="348">
        <v>0</v>
      </c>
      <c r="D110" s="348">
        <v>1</v>
      </c>
      <c r="E110" s="348">
        <v>0</v>
      </c>
      <c r="F110" s="348">
        <v>0</v>
      </c>
      <c r="G110" s="348">
        <v>0</v>
      </c>
      <c r="H110" s="348">
        <v>0</v>
      </c>
      <c r="I110" s="348">
        <v>0</v>
      </c>
      <c r="J110" s="348">
        <v>0</v>
      </c>
      <c r="K110" s="348"/>
      <c r="L110" s="348" t="s">
        <v>131</v>
      </c>
      <c r="M110" s="348" t="s">
        <v>983</v>
      </c>
      <c r="N110" s="348" t="s">
        <v>975</v>
      </c>
      <c r="O110" s="348" t="s">
        <v>975</v>
      </c>
      <c r="P110" s="348" t="s">
        <v>317</v>
      </c>
      <c r="Q110" s="348" t="s">
        <v>318</v>
      </c>
      <c r="R110" s="348"/>
      <c r="S110" s="348" t="s">
        <v>1087</v>
      </c>
      <c r="T110" s="348" t="s">
        <v>1294</v>
      </c>
      <c r="U110" s="348" t="s">
        <v>40</v>
      </c>
      <c r="V110" s="348" t="s">
        <v>983</v>
      </c>
      <c r="W110" s="348" t="s">
        <v>41</v>
      </c>
      <c r="X110" s="348">
        <f t="shared" si="1"/>
        <v>5</v>
      </c>
    </row>
    <row r="111" spans="1:24" ht="213.75" x14ac:dyDescent="0.2">
      <c r="A111" s="225" t="s">
        <v>321</v>
      </c>
      <c r="B111" s="348" t="s">
        <v>322</v>
      </c>
      <c r="C111" s="348">
        <v>0</v>
      </c>
      <c r="D111" s="348">
        <v>1</v>
      </c>
      <c r="E111" s="348">
        <v>0</v>
      </c>
      <c r="F111" s="348">
        <v>0</v>
      </c>
      <c r="G111" s="348">
        <v>0</v>
      </c>
      <c r="H111" s="348">
        <v>0</v>
      </c>
      <c r="I111" s="348">
        <v>0</v>
      </c>
      <c r="J111" s="348">
        <v>0</v>
      </c>
      <c r="K111" s="348"/>
      <c r="L111" s="348" t="s">
        <v>131</v>
      </c>
      <c r="M111" s="348" t="s">
        <v>983</v>
      </c>
      <c r="N111" s="348" t="s">
        <v>975</v>
      </c>
      <c r="O111" s="348" t="s">
        <v>975</v>
      </c>
      <c r="P111" s="348" t="s">
        <v>323</v>
      </c>
      <c r="Q111" s="348" t="s">
        <v>324</v>
      </c>
      <c r="R111" s="348"/>
      <c r="S111" s="348" t="s">
        <v>1239</v>
      </c>
      <c r="T111" s="348" t="s">
        <v>1240</v>
      </c>
      <c r="U111" s="348" t="s">
        <v>40</v>
      </c>
      <c r="V111" s="348" t="s">
        <v>983</v>
      </c>
      <c r="W111" s="348" t="s">
        <v>41</v>
      </c>
      <c r="X111" s="348">
        <f t="shared" si="1"/>
        <v>5</v>
      </c>
    </row>
    <row r="112" spans="1:24" ht="142.5" x14ac:dyDescent="0.2">
      <c r="A112" s="361" t="s">
        <v>325</v>
      </c>
      <c r="B112" s="361" t="s">
        <v>1000</v>
      </c>
      <c r="C112" s="348">
        <v>0</v>
      </c>
      <c r="D112" s="348">
        <v>0</v>
      </c>
      <c r="E112" s="348">
        <v>1</v>
      </c>
      <c r="F112" s="348">
        <v>0</v>
      </c>
      <c r="G112" s="348">
        <v>0</v>
      </c>
      <c r="H112" s="348">
        <v>0</v>
      </c>
      <c r="I112" s="348">
        <v>0</v>
      </c>
      <c r="J112" s="348">
        <v>0</v>
      </c>
      <c r="K112" s="348"/>
      <c r="L112" s="348" t="s">
        <v>4</v>
      </c>
      <c r="M112" s="348" t="s">
        <v>983</v>
      </c>
      <c r="N112" s="348" t="s">
        <v>1246</v>
      </c>
      <c r="O112" s="348" t="s">
        <v>975</v>
      </c>
      <c r="P112" s="348" t="s">
        <v>975</v>
      </c>
      <c r="Q112" s="348" t="s">
        <v>330</v>
      </c>
      <c r="R112" s="348"/>
      <c r="S112" s="348" t="s">
        <v>331</v>
      </c>
      <c r="T112" s="348" t="s">
        <v>1295</v>
      </c>
      <c r="U112" s="348" t="s">
        <v>148</v>
      </c>
      <c r="V112" s="348" t="s">
        <v>983</v>
      </c>
      <c r="W112" s="348" t="s">
        <v>46</v>
      </c>
      <c r="X112" s="348">
        <f t="shared" si="1"/>
        <v>20</v>
      </c>
    </row>
    <row r="113" spans="1:24" ht="114" x14ac:dyDescent="0.2">
      <c r="A113" s="361" t="s">
        <v>329</v>
      </c>
      <c r="B113" s="361" t="s">
        <v>1088</v>
      </c>
      <c r="C113" s="348">
        <v>0</v>
      </c>
      <c r="D113" s="348">
        <v>0</v>
      </c>
      <c r="E113" s="348">
        <v>1</v>
      </c>
      <c r="F113" s="348">
        <v>0</v>
      </c>
      <c r="G113" s="348">
        <v>0</v>
      </c>
      <c r="H113" s="348">
        <v>0</v>
      </c>
      <c r="I113" s="348">
        <v>0</v>
      </c>
      <c r="J113" s="348">
        <v>1</v>
      </c>
      <c r="K113" s="348"/>
      <c r="L113" s="348" t="s">
        <v>4</v>
      </c>
      <c r="M113" s="348" t="s">
        <v>983</v>
      </c>
      <c r="N113" s="348" t="s">
        <v>1246</v>
      </c>
      <c r="O113" s="348" t="s">
        <v>975</v>
      </c>
      <c r="P113" s="348" t="s">
        <v>333</v>
      </c>
      <c r="Q113" s="348" t="s">
        <v>334</v>
      </c>
      <c r="R113" s="348"/>
      <c r="S113" s="348" t="s">
        <v>1209</v>
      </c>
      <c r="T113" s="348" t="s">
        <v>335</v>
      </c>
      <c r="U113" s="348" t="s">
        <v>40</v>
      </c>
      <c r="V113" s="348" t="s">
        <v>983</v>
      </c>
      <c r="W113" s="348" t="s">
        <v>46</v>
      </c>
      <c r="X113" s="348">
        <f t="shared" si="1"/>
        <v>20</v>
      </c>
    </row>
    <row r="114" spans="1:24" ht="128.25" x14ac:dyDescent="0.2">
      <c r="A114" s="361" t="s">
        <v>332</v>
      </c>
      <c r="B114" s="361" t="s">
        <v>1089</v>
      </c>
      <c r="C114" s="348">
        <v>0</v>
      </c>
      <c r="D114" s="348">
        <v>0</v>
      </c>
      <c r="E114" s="348">
        <v>1</v>
      </c>
      <c r="F114" s="348">
        <v>0</v>
      </c>
      <c r="G114" s="348">
        <v>0</v>
      </c>
      <c r="H114" s="348">
        <v>0</v>
      </c>
      <c r="I114" s="348">
        <v>0</v>
      </c>
      <c r="J114" s="348">
        <v>1</v>
      </c>
      <c r="K114" s="348"/>
      <c r="L114" s="348" t="s">
        <v>4</v>
      </c>
      <c r="M114" s="348" t="s">
        <v>983</v>
      </c>
      <c r="N114" s="348" t="s">
        <v>1246</v>
      </c>
      <c r="O114" s="348" t="s">
        <v>975</v>
      </c>
      <c r="P114" s="348" t="s">
        <v>337</v>
      </c>
      <c r="Q114" s="348" t="s">
        <v>338</v>
      </c>
      <c r="R114" s="348"/>
      <c r="S114" s="348" t="s">
        <v>339</v>
      </c>
      <c r="T114" s="348" t="s">
        <v>340</v>
      </c>
      <c r="U114" s="348" t="s">
        <v>40</v>
      </c>
      <c r="V114" s="348" t="s">
        <v>983</v>
      </c>
      <c r="W114" s="348" t="s">
        <v>46</v>
      </c>
      <c r="X114" s="348">
        <f t="shared" si="1"/>
        <v>20</v>
      </c>
    </row>
    <row r="115" spans="1:24" ht="185.25" x14ac:dyDescent="0.2">
      <c r="A115" s="361" t="s">
        <v>336</v>
      </c>
      <c r="B115" s="361" t="s">
        <v>1215</v>
      </c>
      <c r="C115" s="348">
        <v>0</v>
      </c>
      <c r="D115" s="348">
        <v>0</v>
      </c>
      <c r="E115" s="348">
        <v>1</v>
      </c>
      <c r="F115" s="348">
        <v>0</v>
      </c>
      <c r="G115" s="348">
        <v>0</v>
      </c>
      <c r="H115" s="348">
        <v>0</v>
      </c>
      <c r="I115" s="348">
        <v>0</v>
      </c>
      <c r="J115" s="348">
        <v>0</v>
      </c>
      <c r="K115" s="348"/>
      <c r="L115" s="348" t="s">
        <v>4</v>
      </c>
      <c r="M115" s="348" t="s">
        <v>983</v>
      </c>
      <c r="N115" s="348" t="s">
        <v>1246</v>
      </c>
      <c r="O115" s="348" t="s">
        <v>975</v>
      </c>
      <c r="P115" s="348" t="s">
        <v>342</v>
      </c>
      <c r="Q115" s="348" t="s">
        <v>343</v>
      </c>
      <c r="R115" s="348"/>
      <c r="S115" s="348" t="s">
        <v>1296</v>
      </c>
      <c r="T115" s="348" t="s">
        <v>1297</v>
      </c>
      <c r="U115" s="348" t="s">
        <v>40</v>
      </c>
      <c r="V115" s="348" t="s">
        <v>983</v>
      </c>
      <c r="W115" s="348" t="s">
        <v>46</v>
      </c>
      <c r="X115" s="348">
        <f t="shared" si="1"/>
        <v>20</v>
      </c>
    </row>
    <row r="116" spans="1:24" ht="156.75" x14ac:dyDescent="0.2">
      <c r="A116" s="361" t="s">
        <v>341</v>
      </c>
      <c r="B116" s="361" t="s">
        <v>1001</v>
      </c>
      <c r="C116" s="348">
        <v>0</v>
      </c>
      <c r="D116" s="348">
        <v>0</v>
      </c>
      <c r="E116" s="348">
        <v>1</v>
      </c>
      <c r="F116" s="348">
        <v>0</v>
      </c>
      <c r="G116" s="348">
        <v>0</v>
      </c>
      <c r="H116" s="348">
        <v>0</v>
      </c>
      <c r="I116" s="348">
        <v>0</v>
      </c>
      <c r="J116" s="348">
        <v>1</v>
      </c>
      <c r="K116" s="348"/>
      <c r="L116" s="348" t="s">
        <v>4</v>
      </c>
      <c r="M116" s="348" t="s">
        <v>983</v>
      </c>
      <c r="N116" s="348" t="s">
        <v>1246</v>
      </c>
      <c r="O116" s="348" t="s">
        <v>975</v>
      </c>
      <c r="P116" s="348" t="s">
        <v>347</v>
      </c>
      <c r="Q116" s="348" t="s">
        <v>345</v>
      </c>
      <c r="R116" s="348"/>
      <c r="S116" s="348" t="s">
        <v>1298</v>
      </c>
      <c r="T116" s="348" t="s">
        <v>1299</v>
      </c>
      <c r="U116" s="348" t="s">
        <v>40</v>
      </c>
      <c r="V116" s="348" t="s">
        <v>983</v>
      </c>
      <c r="W116" s="348" t="s">
        <v>46</v>
      </c>
      <c r="X116" s="348">
        <f t="shared" si="1"/>
        <v>20</v>
      </c>
    </row>
    <row r="117" spans="1:24" ht="128.25" x14ac:dyDescent="0.2">
      <c r="A117" s="361" t="s">
        <v>344</v>
      </c>
      <c r="B117" s="361" t="s">
        <v>1699</v>
      </c>
      <c r="C117" s="348">
        <v>0</v>
      </c>
      <c r="D117" s="348">
        <v>0</v>
      </c>
      <c r="E117" s="348">
        <v>1</v>
      </c>
      <c r="F117" s="348">
        <v>0</v>
      </c>
      <c r="G117" s="348">
        <v>0</v>
      </c>
      <c r="H117" s="348">
        <v>0</v>
      </c>
      <c r="I117" s="348">
        <v>0</v>
      </c>
      <c r="J117" s="348">
        <v>1</v>
      </c>
      <c r="K117" s="348"/>
      <c r="L117" s="348" t="s">
        <v>4</v>
      </c>
      <c r="M117" s="348" t="s">
        <v>983</v>
      </c>
      <c r="N117" s="348" t="s">
        <v>1246</v>
      </c>
      <c r="O117" s="348" t="s">
        <v>975</v>
      </c>
      <c r="P117" s="348" t="s">
        <v>356</v>
      </c>
      <c r="Q117" s="348" t="s">
        <v>357</v>
      </c>
      <c r="R117" s="348"/>
      <c r="S117" s="348" t="s">
        <v>358</v>
      </c>
      <c r="T117" s="348" t="s">
        <v>1300</v>
      </c>
      <c r="U117" s="348" t="s">
        <v>40</v>
      </c>
      <c r="V117" s="348" t="s">
        <v>983</v>
      </c>
      <c r="W117" s="348" t="s">
        <v>46</v>
      </c>
      <c r="X117" s="348">
        <f t="shared" si="1"/>
        <v>20</v>
      </c>
    </row>
    <row r="118" spans="1:24" ht="185.25" x14ac:dyDescent="0.2">
      <c r="A118" s="361" t="s">
        <v>346</v>
      </c>
      <c r="B118" s="361" t="s">
        <v>1002</v>
      </c>
      <c r="C118" s="348">
        <v>0</v>
      </c>
      <c r="D118" s="348">
        <v>0</v>
      </c>
      <c r="E118" s="348">
        <v>1</v>
      </c>
      <c r="F118" s="348">
        <v>0</v>
      </c>
      <c r="G118" s="348">
        <v>0</v>
      </c>
      <c r="H118" s="348">
        <v>0</v>
      </c>
      <c r="I118" s="348">
        <v>0</v>
      </c>
      <c r="J118" s="348">
        <v>0</v>
      </c>
      <c r="K118" s="348"/>
      <c r="L118" s="348" t="s">
        <v>4</v>
      </c>
      <c r="M118" s="348" t="s">
        <v>983</v>
      </c>
      <c r="N118" s="348" t="s">
        <v>1246</v>
      </c>
      <c r="O118" s="348" t="s">
        <v>975</v>
      </c>
      <c r="P118" s="348" t="s">
        <v>975</v>
      </c>
      <c r="Q118" s="348" t="s">
        <v>376</v>
      </c>
      <c r="R118" s="348"/>
      <c r="S118" s="348" t="s">
        <v>377</v>
      </c>
      <c r="T118" s="348" t="s">
        <v>378</v>
      </c>
      <c r="U118" s="348" t="s">
        <v>148</v>
      </c>
      <c r="V118" s="348" t="s">
        <v>983</v>
      </c>
      <c r="W118" s="348" t="s">
        <v>46</v>
      </c>
      <c r="X118" s="348">
        <f t="shared" si="1"/>
        <v>20</v>
      </c>
    </row>
    <row r="119" spans="1:24" ht="156.75" x14ac:dyDescent="0.2">
      <c r="A119" s="361" t="s">
        <v>348</v>
      </c>
      <c r="B119" s="361" t="s">
        <v>1003</v>
      </c>
      <c r="C119" s="348">
        <v>0</v>
      </c>
      <c r="D119" s="348">
        <v>0</v>
      </c>
      <c r="E119" s="348">
        <v>1</v>
      </c>
      <c r="F119" s="348">
        <v>0</v>
      </c>
      <c r="G119" s="348">
        <v>0</v>
      </c>
      <c r="H119" s="348">
        <v>0</v>
      </c>
      <c r="I119" s="348">
        <v>0</v>
      </c>
      <c r="J119" s="348">
        <v>0</v>
      </c>
      <c r="K119" s="348"/>
      <c r="L119" s="348" t="s">
        <v>4</v>
      </c>
      <c r="M119" s="348" t="s">
        <v>983</v>
      </c>
      <c r="N119" s="348" t="s">
        <v>1246</v>
      </c>
      <c r="O119" s="348" t="s">
        <v>975</v>
      </c>
      <c r="P119" s="348" t="s">
        <v>396</v>
      </c>
      <c r="Q119" s="348" t="s">
        <v>397</v>
      </c>
      <c r="R119" s="348"/>
      <c r="S119" s="348" t="s">
        <v>390</v>
      </c>
      <c r="T119" s="348" t="s">
        <v>391</v>
      </c>
      <c r="U119" s="348" t="s">
        <v>40</v>
      </c>
      <c r="V119" s="348" t="s">
        <v>983</v>
      </c>
      <c r="W119" s="348" t="s">
        <v>46</v>
      </c>
      <c r="X119" s="348">
        <f t="shared" si="1"/>
        <v>20</v>
      </c>
    </row>
    <row r="120" spans="1:24" ht="156.75" x14ac:dyDescent="0.2">
      <c r="A120" s="348" t="s">
        <v>352</v>
      </c>
      <c r="B120" s="348" t="s">
        <v>1519</v>
      </c>
      <c r="C120" s="348">
        <v>0</v>
      </c>
      <c r="D120" s="348">
        <v>0</v>
      </c>
      <c r="E120" s="348">
        <v>1</v>
      </c>
      <c r="F120" s="348">
        <v>0</v>
      </c>
      <c r="G120" s="348">
        <v>0</v>
      </c>
      <c r="H120" s="348">
        <v>0</v>
      </c>
      <c r="I120" s="348">
        <v>0</v>
      </c>
      <c r="J120" s="348">
        <v>1</v>
      </c>
      <c r="K120" s="348"/>
      <c r="L120" s="348" t="s">
        <v>4</v>
      </c>
      <c r="M120" s="348" t="s">
        <v>983</v>
      </c>
      <c r="N120" s="348" t="s">
        <v>1246</v>
      </c>
      <c r="O120" s="348" t="s">
        <v>1520</v>
      </c>
      <c r="P120" s="348" t="s">
        <v>1090</v>
      </c>
      <c r="Q120" s="348" t="s">
        <v>345</v>
      </c>
      <c r="R120" s="348"/>
      <c r="S120" s="348" t="s">
        <v>1301</v>
      </c>
      <c r="T120" s="348" t="s">
        <v>1299</v>
      </c>
      <c r="U120" s="348" t="s">
        <v>40</v>
      </c>
      <c r="V120" s="348" t="s">
        <v>983</v>
      </c>
      <c r="W120" s="348" t="s">
        <v>75</v>
      </c>
      <c r="X120" s="348">
        <f t="shared" si="1"/>
        <v>10</v>
      </c>
    </row>
    <row r="121" spans="1:24" ht="171" x14ac:dyDescent="0.2">
      <c r="A121" s="348" t="s">
        <v>355</v>
      </c>
      <c r="B121" s="348" t="s">
        <v>349</v>
      </c>
      <c r="C121" s="348">
        <v>0</v>
      </c>
      <c r="D121" s="348">
        <v>0</v>
      </c>
      <c r="E121" s="348">
        <v>1</v>
      </c>
      <c r="F121" s="348">
        <v>0</v>
      </c>
      <c r="G121" s="348">
        <v>0</v>
      </c>
      <c r="H121" s="348">
        <v>0</v>
      </c>
      <c r="I121" s="348">
        <v>0</v>
      </c>
      <c r="J121" s="348">
        <v>1</v>
      </c>
      <c r="K121" s="348"/>
      <c r="L121" s="348" t="s">
        <v>4</v>
      </c>
      <c r="M121" s="348" t="s">
        <v>983</v>
      </c>
      <c r="N121" s="348" t="s">
        <v>1246</v>
      </c>
      <c r="O121" s="348" t="s">
        <v>975</v>
      </c>
      <c r="P121" s="348" t="s">
        <v>350</v>
      </c>
      <c r="Q121" s="348" t="s">
        <v>351</v>
      </c>
      <c r="R121" s="348"/>
      <c r="S121" s="348" t="s">
        <v>1302</v>
      </c>
      <c r="T121" s="348" t="s">
        <v>1299</v>
      </c>
      <c r="U121" s="348" t="s">
        <v>40</v>
      </c>
      <c r="V121" s="348" t="s">
        <v>983</v>
      </c>
      <c r="W121" s="348" t="s">
        <v>75</v>
      </c>
      <c r="X121" s="348">
        <f t="shared" si="1"/>
        <v>10</v>
      </c>
    </row>
    <row r="122" spans="1:24" ht="114" x14ac:dyDescent="0.2">
      <c r="A122" s="348" t="s">
        <v>359</v>
      </c>
      <c r="B122" s="348" t="s">
        <v>370</v>
      </c>
      <c r="C122" s="348">
        <v>0</v>
      </c>
      <c r="D122" s="348">
        <v>0</v>
      </c>
      <c r="E122" s="348">
        <v>1</v>
      </c>
      <c r="F122" s="348">
        <v>0</v>
      </c>
      <c r="G122" s="348">
        <v>0</v>
      </c>
      <c r="H122" s="348">
        <v>0</v>
      </c>
      <c r="I122" s="348">
        <v>0</v>
      </c>
      <c r="J122" s="348">
        <v>1</v>
      </c>
      <c r="K122" s="348"/>
      <c r="L122" s="348" t="s">
        <v>4</v>
      </c>
      <c r="M122" s="348" t="s">
        <v>983</v>
      </c>
      <c r="N122" s="348" t="s">
        <v>1246</v>
      </c>
      <c r="O122" s="348" t="s">
        <v>975</v>
      </c>
      <c r="P122" s="348" t="s">
        <v>371</v>
      </c>
      <c r="Q122" s="348" t="s">
        <v>1881</v>
      </c>
      <c r="R122" s="349" t="s">
        <v>1567</v>
      </c>
      <c r="S122" s="348" t="s">
        <v>1303</v>
      </c>
      <c r="T122" s="348" t="s">
        <v>372</v>
      </c>
      <c r="U122" s="348" t="s">
        <v>40</v>
      </c>
      <c r="V122" s="348" t="s">
        <v>983</v>
      </c>
      <c r="W122" s="348" t="s">
        <v>75</v>
      </c>
      <c r="X122" s="348">
        <f t="shared" si="1"/>
        <v>10</v>
      </c>
    </row>
    <row r="123" spans="1:24" ht="185.25" x14ac:dyDescent="0.2">
      <c r="A123" s="348" t="s">
        <v>363</v>
      </c>
      <c r="B123" s="348" t="s">
        <v>1091</v>
      </c>
      <c r="C123" s="348">
        <v>0</v>
      </c>
      <c r="D123" s="348">
        <v>0</v>
      </c>
      <c r="E123" s="348">
        <v>1</v>
      </c>
      <c r="F123" s="348">
        <v>0</v>
      </c>
      <c r="G123" s="348">
        <v>0</v>
      </c>
      <c r="H123" s="348">
        <v>0</v>
      </c>
      <c r="I123" s="348">
        <v>0</v>
      </c>
      <c r="J123" s="348">
        <v>1</v>
      </c>
      <c r="K123" s="348"/>
      <c r="L123" s="348" t="s">
        <v>4</v>
      </c>
      <c r="M123" s="348" t="s">
        <v>983</v>
      </c>
      <c r="N123" s="348" t="s">
        <v>1246</v>
      </c>
      <c r="O123" s="348" t="s">
        <v>975</v>
      </c>
      <c r="P123" s="348" t="s">
        <v>1092</v>
      </c>
      <c r="Q123" s="348" t="s">
        <v>1093</v>
      </c>
      <c r="R123" s="348"/>
      <c r="S123" s="348" t="s">
        <v>1304</v>
      </c>
      <c r="T123" s="348" t="s">
        <v>1094</v>
      </c>
      <c r="U123" s="348" t="s">
        <v>40</v>
      </c>
      <c r="V123" s="348" t="s">
        <v>983</v>
      </c>
      <c r="W123" s="348" t="s">
        <v>75</v>
      </c>
      <c r="X123" s="348">
        <f t="shared" si="1"/>
        <v>10</v>
      </c>
    </row>
    <row r="124" spans="1:24" ht="148.5" customHeight="1" x14ac:dyDescent="0.2">
      <c r="A124" s="348" t="s">
        <v>369</v>
      </c>
      <c r="B124" s="348" t="s">
        <v>1095</v>
      </c>
      <c r="C124" s="348">
        <v>0</v>
      </c>
      <c r="D124" s="348">
        <v>0</v>
      </c>
      <c r="E124" s="348">
        <v>1</v>
      </c>
      <c r="F124" s="348">
        <v>0</v>
      </c>
      <c r="G124" s="348">
        <v>0</v>
      </c>
      <c r="H124" s="348">
        <v>0</v>
      </c>
      <c r="I124" s="348">
        <v>0</v>
      </c>
      <c r="J124" s="348">
        <v>1</v>
      </c>
      <c r="K124" s="348"/>
      <c r="L124" s="348" t="s">
        <v>4</v>
      </c>
      <c r="M124" s="348" t="s">
        <v>983</v>
      </c>
      <c r="N124" s="348" t="s">
        <v>1246</v>
      </c>
      <c r="O124" s="348" t="s">
        <v>975</v>
      </c>
      <c r="P124" s="348" t="s">
        <v>1096</v>
      </c>
      <c r="Q124" s="348" t="s">
        <v>1097</v>
      </c>
      <c r="R124" s="348"/>
      <c r="S124" s="348" t="s">
        <v>1882</v>
      </c>
      <c r="T124" s="348" t="s">
        <v>1098</v>
      </c>
      <c r="U124" s="348" t="s">
        <v>40</v>
      </c>
      <c r="V124" s="348" t="s">
        <v>983</v>
      </c>
      <c r="W124" s="348" t="s">
        <v>75</v>
      </c>
      <c r="X124" s="348">
        <f t="shared" si="1"/>
        <v>10</v>
      </c>
    </row>
    <row r="125" spans="1:24" ht="147" customHeight="1" x14ac:dyDescent="0.2">
      <c r="A125" s="348" t="s">
        <v>373</v>
      </c>
      <c r="B125" s="348" t="s">
        <v>380</v>
      </c>
      <c r="C125" s="348">
        <v>0</v>
      </c>
      <c r="D125" s="348">
        <v>0</v>
      </c>
      <c r="E125" s="348">
        <v>1</v>
      </c>
      <c r="F125" s="348">
        <v>0</v>
      </c>
      <c r="G125" s="348">
        <v>0</v>
      </c>
      <c r="H125" s="348">
        <v>0</v>
      </c>
      <c r="I125" s="348">
        <v>0</v>
      </c>
      <c r="J125" s="348">
        <v>1</v>
      </c>
      <c r="K125" s="348"/>
      <c r="L125" s="348" t="s">
        <v>4</v>
      </c>
      <c r="M125" s="348" t="s">
        <v>983</v>
      </c>
      <c r="N125" s="348" t="s">
        <v>1246</v>
      </c>
      <c r="O125" s="348" t="s">
        <v>975</v>
      </c>
      <c r="P125" s="348" t="s">
        <v>381</v>
      </c>
      <c r="Q125" s="348" t="s">
        <v>382</v>
      </c>
      <c r="R125" s="348"/>
      <c r="S125" s="348" t="s">
        <v>383</v>
      </c>
      <c r="T125" s="348" t="s">
        <v>384</v>
      </c>
      <c r="U125" s="348" t="s">
        <v>40</v>
      </c>
      <c r="V125" s="348" t="s">
        <v>983</v>
      </c>
      <c r="W125" s="348" t="s">
        <v>41</v>
      </c>
      <c r="X125" s="348">
        <f t="shared" si="1"/>
        <v>5</v>
      </c>
    </row>
    <row r="126" spans="1:24" ht="156.75" x14ac:dyDescent="0.2">
      <c r="A126" s="348" t="s">
        <v>374</v>
      </c>
      <c r="B126" s="348" t="s">
        <v>1099</v>
      </c>
      <c r="C126" s="348">
        <v>0</v>
      </c>
      <c r="D126" s="348">
        <v>0</v>
      </c>
      <c r="E126" s="348">
        <v>1</v>
      </c>
      <c r="F126" s="348">
        <v>0</v>
      </c>
      <c r="G126" s="348">
        <v>0</v>
      </c>
      <c r="H126" s="348">
        <v>0</v>
      </c>
      <c r="I126" s="348">
        <v>0</v>
      </c>
      <c r="J126" s="348">
        <v>0</v>
      </c>
      <c r="K126" s="348"/>
      <c r="L126" s="348" t="s">
        <v>4</v>
      </c>
      <c r="M126" s="348" t="s">
        <v>983</v>
      </c>
      <c r="N126" s="348" t="s">
        <v>1246</v>
      </c>
      <c r="O126" s="348" t="s">
        <v>975</v>
      </c>
      <c r="P126" s="348" t="s">
        <v>388</v>
      </c>
      <c r="Q126" s="348" t="s">
        <v>389</v>
      </c>
      <c r="R126" s="348"/>
      <c r="S126" s="348" t="s">
        <v>390</v>
      </c>
      <c r="T126" s="348" t="s">
        <v>391</v>
      </c>
      <c r="U126" s="348" t="s">
        <v>40</v>
      </c>
      <c r="V126" s="348" t="s">
        <v>983</v>
      </c>
      <c r="W126" s="348" t="s">
        <v>75</v>
      </c>
      <c r="X126" s="348">
        <f t="shared" si="1"/>
        <v>10</v>
      </c>
    </row>
    <row r="127" spans="1:24" ht="156.75" x14ac:dyDescent="0.2">
      <c r="A127" s="348" t="s">
        <v>375</v>
      </c>
      <c r="B127" s="348" t="s">
        <v>1465</v>
      </c>
      <c r="C127" s="348">
        <v>0</v>
      </c>
      <c r="D127" s="348">
        <v>0</v>
      </c>
      <c r="E127" s="348">
        <v>1</v>
      </c>
      <c r="F127" s="348">
        <v>0</v>
      </c>
      <c r="G127" s="348">
        <v>0</v>
      </c>
      <c r="H127" s="348">
        <v>0</v>
      </c>
      <c r="I127" s="348">
        <v>0</v>
      </c>
      <c r="J127" s="348">
        <v>0</v>
      </c>
      <c r="K127" s="348"/>
      <c r="L127" s="348" t="s">
        <v>4</v>
      </c>
      <c r="M127" s="348" t="s">
        <v>983</v>
      </c>
      <c r="N127" s="348" t="s">
        <v>1246</v>
      </c>
      <c r="O127" s="348" t="s">
        <v>975</v>
      </c>
      <c r="P127" s="348" t="s">
        <v>393</v>
      </c>
      <c r="Q127" s="348" t="s">
        <v>975</v>
      </c>
      <c r="R127" s="348"/>
      <c r="S127" s="348" t="s">
        <v>390</v>
      </c>
      <c r="T127" s="348" t="s">
        <v>394</v>
      </c>
      <c r="U127" s="348" t="s">
        <v>40</v>
      </c>
      <c r="V127" s="348" t="s">
        <v>983</v>
      </c>
      <c r="W127" s="348" t="s">
        <v>75</v>
      </c>
      <c r="X127" s="348">
        <f t="shared" si="1"/>
        <v>10</v>
      </c>
    </row>
    <row r="128" spans="1:24" ht="185.25" x14ac:dyDescent="0.2">
      <c r="A128" s="348" t="s">
        <v>379</v>
      </c>
      <c r="B128" s="348" t="s">
        <v>1100</v>
      </c>
      <c r="C128" s="348">
        <v>0</v>
      </c>
      <c r="D128" s="348">
        <v>0</v>
      </c>
      <c r="E128" s="348">
        <v>1</v>
      </c>
      <c r="F128" s="348">
        <v>0</v>
      </c>
      <c r="G128" s="348">
        <v>0</v>
      </c>
      <c r="H128" s="348">
        <v>0</v>
      </c>
      <c r="I128" s="348">
        <v>0</v>
      </c>
      <c r="J128" s="348">
        <v>1</v>
      </c>
      <c r="K128" s="348"/>
      <c r="L128" s="348" t="s">
        <v>4</v>
      </c>
      <c r="M128" s="348" t="s">
        <v>983</v>
      </c>
      <c r="N128" s="348" t="s">
        <v>1246</v>
      </c>
      <c r="O128" s="348" t="s">
        <v>975</v>
      </c>
      <c r="P128" s="348" t="s">
        <v>975</v>
      </c>
      <c r="Q128" s="348" t="s">
        <v>403</v>
      </c>
      <c r="R128" s="348"/>
      <c r="S128" s="348" t="s">
        <v>1305</v>
      </c>
      <c r="T128" s="348" t="s">
        <v>1306</v>
      </c>
      <c r="U128" s="348" t="s">
        <v>148</v>
      </c>
      <c r="V128" s="348" t="s">
        <v>983</v>
      </c>
      <c r="W128" s="348" t="s">
        <v>75</v>
      </c>
      <c r="X128" s="348">
        <f t="shared" si="1"/>
        <v>10</v>
      </c>
    </row>
    <row r="129" spans="1:24" ht="408.95" customHeight="1" x14ac:dyDescent="0.2">
      <c r="A129" s="348" t="s">
        <v>385</v>
      </c>
      <c r="B129" s="348" t="s">
        <v>404</v>
      </c>
      <c r="C129" s="348">
        <v>0</v>
      </c>
      <c r="D129" s="348">
        <v>0</v>
      </c>
      <c r="E129" s="348">
        <v>1</v>
      </c>
      <c r="F129" s="348">
        <v>0</v>
      </c>
      <c r="G129" s="348">
        <v>0</v>
      </c>
      <c r="H129" s="348">
        <v>0</v>
      </c>
      <c r="I129" s="348">
        <v>0</v>
      </c>
      <c r="J129" s="348">
        <v>0</v>
      </c>
      <c r="K129" s="348"/>
      <c r="L129" s="348" t="s">
        <v>4</v>
      </c>
      <c r="M129" s="348" t="s">
        <v>983</v>
      </c>
      <c r="N129" s="348" t="s">
        <v>1246</v>
      </c>
      <c r="O129" s="348" t="s">
        <v>975</v>
      </c>
      <c r="P129" s="348" t="s">
        <v>975</v>
      </c>
      <c r="Q129" s="348" t="s">
        <v>405</v>
      </c>
      <c r="R129" s="348"/>
      <c r="S129" s="348" t="s">
        <v>1394</v>
      </c>
      <c r="T129" s="348" t="s">
        <v>406</v>
      </c>
      <c r="U129" s="348" t="s">
        <v>40</v>
      </c>
      <c r="V129" s="348" t="s">
        <v>983</v>
      </c>
      <c r="W129" s="348" t="s">
        <v>75</v>
      </c>
      <c r="X129" s="348">
        <f t="shared" si="1"/>
        <v>10</v>
      </c>
    </row>
    <row r="130" spans="1:24" ht="294" customHeight="1" x14ac:dyDescent="0.2">
      <c r="A130" s="348" t="s">
        <v>387</v>
      </c>
      <c r="B130" s="348" t="s">
        <v>1183</v>
      </c>
      <c r="C130" s="348">
        <v>0</v>
      </c>
      <c r="D130" s="348">
        <v>0</v>
      </c>
      <c r="E130" s="348">
        <v>1</v>
      </c>
      <c r="F130" s="348">
        <v>0</v>
      </c>
      <c r="G130" s="348">
        <v>0</v>
      </c>
      <c r="H130" s="348">
        <v>0</v>
      </c>
      <c r="I130" s="348">
        <v>0</v>
      </c>
      <c r="J130" s="348">
        <v>0</v>
      </c>
      <c r="K130" s="348"/>
      <c r="L130" s="348" t="s">
        <v>4</v>
      </c>
      <c r="M130" s="348" t="s">
        <v>983</v>
      </c>
      <c r="N130" s="348" t="s">
        <v>1246</v>
      </c>
      <c r="O130" s="348" t="s">
        <v>975</v>
      </c>
      <c r="P130" s="348" t="s">
        <v>326</v>
      </c>
      <c r="Q130" s="348" t="s">
        <v>327</v>
      </c>
      <c r="R130" s="348"/>
      <c r="S130" s="348" t="s">
        <v>1307</v>
      </c>
      <c r="T130" s="348" t="s">
        <v>328</v>
      </c>
      <c r="U130" s="348" t="s">
        <v>40</v>
      </c>
      <c r="V130" s="348" t="s">
        <v>983</v>
      </c>
      <c r="W130" s="348" t="s">
        <v>41</v>
      </c>
      <c r="X130" s="348">
        <f t="shared" si="1"/>
        <v>5</v>
      </c>
    </row>
    <row r="131" spans="1:24" ht="220.5" customHeight="1" x14ac:dyDescent="0.2">
      <c r="A131" s="348" t="s">
        <v>392</v>
      </c>
      <c r="B131" s="348" t="s">
        <v>353</v>
      </c>
      <c r="C131" s="348">
        <v>0</v>
      </c>
      <c r="D131" s="348">
        <v>0</v>
      </c>
      <c r="E131" s="348">
        <v>1</v>
      </c>
      <c r="F131" s="348">
        <v>0</v>
      </c>
      <c r="G131" s="348">
        <v>0</v>
      </c>
      <c r="H131" s="348">
        <v>0</v>
      </c>
      <c r="I131" s="348">
        <v>0</v>
      </c>
      <c r="J131" s="348">
        <v>1</v>
      </c>
      <c r="K131" s="348"/>
      <c r="L131" s="348" t="s">
        <v>4</v>
      </c>
      <c r="M131" s="348" t="s">
        <v>983</v>
      </c>
      <c r="N131" s="348" t="s">
        <v>1246</v>
      </c>
      <c r="O131" s="348" t="s">
        <v>975</v>
      </c>
      <c r="P131" s="348" t="s">
        <v>354</v>
      </c>
      <c r="Q131" s="348" t="s">
        <v>1883</v>
      </c>
      <c r="R131" s="348"/>
      <c r="S131" s="348" t="s">
        <v>1308</v>
      </c>
      <c r="T131" s="348" t="s">
        <v>1300</v>
      </c>
      <c r="U131" s="348" t="s">
        <v>40</v>
      </c>
      <c r="V131" s="348" t="s">
        <v>983</v>
      </c>
      <c r="W131" s="348" t="s">
        <v>41</v>
      </c>
      <c r="X131" s="348">
        <f t="shared" si="1"/>
        <v>5</v>
      </c>
    </row>
    <row r="132" spans="1:24" ht="128.25" x14ac:dyDescent="0.2">
      <c r="A132" s="348" t="s">
        <v>395</v>
      </c>
      <c r="B132" s="348" t="s">
        <v>360</v>
      </c>
      <c r="C132" s="348">
        <v>0</v>
      </c>
      <c r="D132" s="348">
        <v>0</v>
      </c>
      <c r="E132" s="348">
        <v>1</v>
      </c>
      <c r="F132" s="348">
        <v>0</v>
      </c>
      <c r="G132" s="348">
        <v>0</v>
      </c>
      <c r="H132" s="348">
        <v>0</v>
      </c>
      <c r="I132" s="348">
        <v>0</v>
      </c>
      <c r="J132" s="348">
        <v>1</v>
      </c>
      <c r="K132" s="348"/>
      <c r="L132" s="348" t="s">
        <v>4</v>
      </c>
      <c r="M132" s="348" t="s">
        <v>983</v>
      </c>
      <c r="N132" s="348" t="s">
        <v>1246</v>
      </c>
      <c r="O132" s="348" t="s">
        <v>975</v>
      </c>
      <c r="P132" s="348" t="s">
        <v>361</v>
      </c>
      <c r="Q132" s="348" t="s">
        <v>362</v>
      </c>
      <c r="R132" s="348"/>
      <c r="S132" s="348" t="s">
        <v>358</v>
      </c>
      <c r="T132" s="348" t="s">
        <v>1300</v>
      </c>
      <c r="U132" s="348" t="s">
        <v>40</v>
      </c>
      <c r="V132" s="348" t="s">
        <v>983</v>
      </c>
      <c r="W132" s="348" t="s">
        <v>41</v>
      </c>
      <c r="X132" s="348">
        <f t="shared" si="1"/>
        <v>5</v>
      </c>
    </row>
    <row r="133" spans="1:24" ht="185.25" x14ac:dyDescent="0.2">
      <c r="A133" s="348" t="s">
        <v>398</v>
      </c>
      <c r="B133" s="348" t="s">
        <v>364</v>
      </c>
      <c r="C133" s="348">
        <v>0</v>
      </c>
      <c r="D133" s="348">
        <v>0</v>
      </c>
      <c r="E133" s="348">
        <v>1</v>
      </c>
      <c r="F133" s="348">
        <v>0</v>
      </c>
      <c r="G133" s="348">
        <v>0</v>
      </c>
      <c r="H133" s="348">
        <v>0</v>
      </c>
      <c r="I133" s="348">
        <v>0</v>
      </c>
      <c r="J133" s="348">
        <v>1</v>
      </c>
      <c r="K133" s="348"/>
      <c r="L133" s="348" t="s">
        <v>4</v>
      </c>
      <c r="M133" s="348" t="s">
        <v>983</v>
      </c>
      <c r="N133" s="348" t="s">
        <v>1246</v>
      </c>
      <c r="O133" s="348" t="s">
        <v>365</v>
      </c>
      <c r="P133" s="348" t="s">
        <v>366</v>
      </c>
      <c r="Q133" s="348" t="s">
        <v>367</v>
      </c>
      <c r="R133" s="348"/>
      <c r="S133" s="348" t="s">
        <v>368</v>
      </c>
      <c r="T133" s="348" t="s">
        <v>1309</v>
      </c>
      <c r="U133" s="348" t="s">
        <v>40</v>
      </c>
      <c r="V133" s="348" t="s">
        <v>983</v>
      </c>
      <c r="W133" s="348" t="s">
        <v>41</v>
      </c>
      <c r="X133" s="348">
        <f t="shared" si="1"/>
        <v>5</v>
      </c>
    </row>
    <row r="134" spans="1:24" ht="242.25" x14ac:dyDescent="0.2">
      <c r="A134" s="348" t="s">
        <v>402</v>
      </c>
      <c r="B134" s="348" t="s">
        <v>1101</v>
      </c>
      <c r="C134" s="348">
        <v>0</v>
      </c>
      <c r="D134" s="348">
        <v>0</v>
      </c>
      <c r="E134" s="348">
        <v>1</v>
      </c>
      <c r="F134" s="348">
        <v>0</v>
      </c>
      <c r="G134" s="348">
        <v>0</v>
      </c>
      <c r="H134" s="348">
        <v>0</v>
      </c>
      <c r="I134" s="348">
        <v>0</v>
      </c>
      <c r="J134" s="348">
        <v>0</v>
      </c>
      <c r="K134" s="348"/>
      <c r="L134" s="348" t="s">
        <v>4</v>
      </c>
      <c r="M134" s="348" t="s">
        <v>983</v>
      </c>
      <c r="N134" s="348" t="s">
        <v>1246</v>
      </c>
      <c r="O134" s="348" t="s">
        <v>386</v>
      </c>
      <c r="P134" s="348" t="s">
        <v>386</v>
      </c>
      <c r="Q134" s="348" t="s">
        <v>386</v>
      </c>
      <c r="R134" s="348"/>
      <c r="S134" s="348" t="s">
        <v>1310</v>
      </c>
      <c r="T134" s="348" t="s">
        <v>1311</v>
      </c>
      <c r="U134" s="348" t="s">
        <v>40</v>
      </c>
      <c r="V134" s="348" t="s">
        <v>983</v>
      </c>
      <c r="W134" s="348" t="s">
        <v>41</v>
      </c>
      <c r="X134" s="348">
        <f t="shared" si="1"/>
        <v>5</v>
      </c>
    </row>
    <row r="135" spans="1:24" ht="256.5" x14ac:dyDescent="0.2">
      <c r="A135" s="225" t="s">
        <v>407</v>
      </c>
      <c r="B135" s="348" t="s">
        <v>408</v>
      </c>
      <c r="C135" s="348">
        <v>0</v>
      </c>
      <c r="D135" s="348">
        <v>0</v>
      </c>
      <c r="E135" s="348">
        <v>0</v>
      </c>
      <c r="F135" s="348">
        <v>1</v>
      </c>
      <c r="G135" s="348">
        <v>0</v>
      </c>
      <c r="H135" s="348">
        <v>0</v>
      </c>
      <c r="I135" s="348">
        <v>0</v>
      </c>
      <c r="J135" s="348">
        <v>1</v>
      </c>
      <c r="K135" s="348"/>
      <c r="L135" s="348" t="s">
        <v>1004</v>
      </c>
      <c r="M135" s="348" t="s">
        <v>983</v>
      </c>
      <c r="N135" s="348" t="s">
        <v>1312</v>
      </c>
      <c r="O135" s="348" t="s">
        <v>409</v>
      </c>
      <c r="P135" s="348" t="s">
        <v>409</v>
      </c>
      <c r="Q135" s="348" t="s">
        <v>409</v>
      </c>
      <c r="R135" s="348"/>
      <c r="S135" s="348" t="s">
        <v>410</v>
      </c>
      <c r="T135" s="348" t="s">
        <v>411</v>
      </c>
      <c r="U135" s="348" t="s">
        <v>1004</v>
      </c>
      <c r="V135" s="348" t="s">
        <v>983</v>
      </c>
      <c r="W135" s="348"/>
      <c r="X135" s="348"/>
    </row>
    <row r="136" spans="1:24" ht="409.5" x14ac:dyDescent="0.2">
      <c r="A136" s="348" t="s">
        <v>412</v>
      </c>
      <c r="B136" s="348" t="s">
        <v>1459</v>
      </c>
      <c r="C136" s="348">
        <v>0</v>
      </c>
      <c r="D136" s="348">
        <v>0</v>
      </c>
      <c r="E136" s="348">
        <v>0</v>
      </c>
      <c r="F136" s="348">
        <v>1</v>
      </c>
      <c r="G136" s="348">
        <v>0</v>
      </c>
      <c r="H136" s="348">
        <v>0</v>
      </c>
      <c r="I136" s="348">
        <v>0</v>
      </c>
      <c r="J136" s="348">
        <v>0</v>
      </c>
      <c r="K136" s="348"/>
      <c r="L136" s="348" t="s">
        <v>162</v>
      </c>
      <c r="M136" s="348" t="s">
        <v>983</v>
      </c>
      <c r="N136" s="348" t="s">
        <v>975</v>
      </c>
      <c r="O136" s="348" t="s">
        <v>975</v>
      </c>
      <c r="P136" s="348" t="s">
        <v>975</v>
      </c>
      <c r="Q136" s="348" t="s">
        <v>413</v>
      </c>
      <c r="R136" s="348"/>
      <c r="S136" s="348" t="s">
        <v>1313</v>
      </c>
      <c r="T136" s="348" t="s">
        <v>1314</v>
      </c>
      <c r="U136" s="348" t="s">
        <v>40</v>
      </c>
      <c r="V136" s="348" t="s">
        <v>983</v>
      </c>
      <c r="W136" s="348" t="s">
        <v>75</v>
      </c>
      <c r="X136" s="348">
        <f t="shared" si="1"/>
        <v>10</v>
      </c>
    </row>
    <row r="137" spans="1:24" ht="339.75" customHeight="1" x14ac:dyDescent="0.2">
      <c r="A137" s="225" t="s">
        <v>414</v>
      </c>
      <c r="B137" s="348" t="s">
        <v>1102</v>
      </c>
      <c r="C137" s="348">
        <v>0</v>
      </c>
      <c r="D137" s="348">
        <v>0</v>
      </c>
      <c r="E137" s="348">
        <v>0</v>
      </c>
      <c r="F137" s="348">
        <v>1</v>
      </c>
      <c r="G137" s="348">
        <v>0</v>
      </c>
      <c r="H137" s="348">
        <v>0</v>
      </c>
      <c r="I137" s="348">
        <v>0</v>
      </c>
      <c r="J137" s="348">
        <v>1</v>
      </c>
      <c r="K137" s="348"/>
      <c r="L137" s="348" t="s">
        <v>162</v>
      </c>
      <c r="M137" s="348" t="s">
        <v>983</v>
      </c>
      <c r="N137" s="348" t="s">
        <v>975</v>
      </c>
      <c r="O137" s="348" t="s">
        <v>415</v>
      </c>
      <c r="P137" s="348" t="s">
        <v>416</v>
      </c>
      <c r="Q137" s="348" t="s">
        <v>415</v>
      </c>
      <c r="R137" s="348"/>
      <c r="S137" s="348" t="s">
        <v>1315</v>
      </c>
      <c r="T137" s="348" t="s">
        <v>1316</v>
      </c>
      <c r="U137" s="348" t="s">
        <v>40</v>
      </c>
      <c r="V137" s="348" t="s">
        <v>983</v>
      </c>
      <c r="W137" s="348" t="s">
        <v>75</v>
      </c>
      <c r="X137" s="348">
        <f t="shared" si="1"/>
        <v>10</v>
      </c>
    </row>
    <row r="138" spans="1:24" ht="186" customHeight="1" x14ac:dyDescent="0.2">
      <c r="A138" s="348" t="s">
        <v>417</v>
      </c>
      <c r="B138" s="348" t="s">
        <v>418</v>
      </c>
      <c r="C138" s="348">
        <v>0</v>
      </c>
      <c r="D138" s="348">
        <v>0</v>
      </c>
      <c r="E138" s="348">
        <v>0</v>
      </c>
      <c r="F138" s="348">
        <v>1</v>
      </c>
      <c r="G138" s="348">
        <v>0</v>
      </c>
      <c r="H138" s="348">
        <v>0</v>
      </c>
      <c r="I138" s="348">
        <v>0</v>
      </c>
      <c r="J138" s="348">
        <v>0</v>
      </c>
      <c r="K138" s="348"/>
      <c r="L138" s="348" t="s">
        <v>162</v>
      </c>
      <c r="M138" s="348" t="s">
        <v>983</v>
      </c>
      <c r="N138" s="348" t="s">
        <v>975</v>
      </c>
      <c r="O138" s="348" t="s">
        <v>975</v>
      </c>
      <c r="P138" s="348" t="s">
        <v>419</v>
      </c>
      <c r="Q138" s="348" t="s">
        <v>420</v>
      </c>
      <c r="R138" s="348"/>
      <c r="S138" s="348" t="s">
        <v>1395</v>
      </c>
      <c r="T138" s="348" t="s">
        <v>421</v>
      </c>
      <c r="U138" s="348" t="s">
        <v>40</v>
      </c>
      <c r="V138" s="348" t="s">
        <v>983</v>
      </c>
      <c r="W138" s="348" t="s">
        <v>75</v>
      </c>
      <c r="X138" s="348">
        <f t="shared" si="1"/>
        <v>10</v>
      </c>
    </row>
    <row r="139" spans="1:24" ht="185.25" x14ac:dyDescent="0.2">
      <c r="A139" s="225" t="s">
        <v>422</v>
      </c>
      <c r="B139" s="348" t="s">
        <v>1464</v>
      </c>
      <c r="C139" s="348">
        <v>0</v>
      </c>
      <c r="D139" s="348">
        <v>0</v>
      </c>
      <c r="E139" s="348">
        <v>0</v>
      </c>
      <c r="F139" s="348">
        <v>1</v>
      </c>
      <c r="G139" s="348">
        <v>0</v>
      </c>
      <c r="H139" s="348">
        <v>0</v>
      </c>
      <c r="I139" s="348">
        <v>0</v>
      </c>
      <c r="J139" s="348">
        <v>0</v>
      </c>
      <c r="K139" s="348"/>
      <c r="L139" s="348" t="s">
        <v>162</v>
      </c>
      <c r="M139" s="348" t="s">
        <v>983</v>
      </c>
      <c r="N139" s="348" t="s">
        <v>975</v>
      </c>
      <c r="O139" s="348" t="s">
        <v>975</v>
      </c>
      <c r="P139" s="348" t="s">
        <v>1103</v>
      </c>
      <c r="Q139" s="348" t="s">
        <v>423</v>
      </c>
      <c r="R139" s="348"/>
      <c r="S139" s="348" t="s">
        <v>1317</v>
      </c>
      <c r="T139" s="348" t="s">
        <v>424</v>
      </c>
      <c r="U139" s="348" t="s">
        <v>40</v>
      </c>
      <c r="V139" s="348" t="s">
        <v>983</v>
      </c>
      <c r="W139" s="348" t="s">
        <v>75</v>
      </c>
      <c r="X139" s="348">
        <f t="shared" si="1"/>
        <v>10</v>
      </c>
    </row>
    <row r="140" spans="1:24" ht="185.25" x14ac:dyDescent="0.2">
      <c r="A140" s="361" t="s">
        <v>425</v>
      </c>
      <c r="B140" s="361" t="s">
        <v>1005</v>
      </c>
      <c r="C140" s="348">
        <v>0</v>
      </c>
      <c r="D140" s="348">
        <v>0</v>
      </c>
      <c r="E140" s="348">
        <v>0</v>
      </c>
      <c r="F140" s="348">
        <v>1</v>
      </c>
      <c r="G140" s="348">
        <v>0</v>
      </c>
      <c r="H140" s="348">
        <v>0</v>
      </c>
      <c r="I140" s="348">
        <v>0</v>
      </c>
      <c r="J140" s="348">
        <v>0</v>
      </c>
      <c r="K140" s="348"/>
      <c r="L140" s="348" t="s">
        <v>162</v>
      </c>
      <c r="M140" s="348" t="s">
        <v>983</v>
      </c>
      <c r="N140" s="348" t="s">
        <v>975</v>
      </c>
      <c r="O140" s="348" t="s">
        <v>975</v>
      </c>
      <c r="P140" s="348" t="s">
        <v>426</v>
      </c>
      <c r="Q140" s="348" t="s">
        <v>975</v>
      </c>
      <c r="R140" s="348"/>
      <c r="S140" s="348" t="s">
        <v>1317</v>
      </c>
      <c r="T140" s="348" t="s">
        <v>424</v>
      </c>
      <c r="U140" s="348" t="s">
        <v>40</v>
      </c>
      <c r="V140" s="348" t="s">
        <v>983</v>
      </c>
      <c r="W140" s="348" t="s">
        <v>46</v>
      </c>
      <c r="X140" s="348">
        <f t="shared" ref="X140:X203" si="2">IF($W140="Critical Importance",20,IF($W140="Minor Importance",5,10))</f>
        <v>20</v>
      </c>
    </row>
    <row r="141" spans="1:24" ht="214.5" customHeight="1" x14ac:dyDescent="0.2">
      <c r="A141" s="225" t="s">
        <v>427</v>
      </c>
      <c r="B141" s="348" t="s">
        <v>428</v>
      </c>
      <c r="C141" s="348">
        <v>0</v>
      </c>
      <c r="D141" s="348">
        <v>0</v>
      </c>
      <c r="E141" s="348">
        <v>0</v>
      </c>
      <c r="F141" s="348">
        <v>1</v>
      </c>
      <c r="G141" s="348">
        <v>0</v>
      </c>
      <c r="H141" s="348">
        <v>0</v>
      </c>
      <c r="I141" s="348">
        <v>0</v>
      </c>
      <c r="J141" s="348">
        <v>0</v>
      </c>
      <c r="K141" s="348"/>
      <c r="L141" s="348" t="s">
        <v>162</v>
      </c>
      <c r="M141" s="348" t="s">
        <v>983</v>
      </c>
      <c r="N141" s="348" t="s">
        <v>975</v>
      </c>
      <c r="O141" s="348" t="s">
        <v>975</v>
      </c>
      <c r="P141" s="348" t="s">
        <v>429</v>
      </c>
      <c r="Q141" s="348" t="s">
        <v>430</v>
      </c>
      <c r="R141" s="348"/>
      <c r="S141" s="348" t="s">
        <v>1318</v>
      </c>
      <c r="T141" s="348" t="s">
        <v>431</v>
      </c>
      <c r="U141" s="348" t="s">
        <v>40</v>
      </c>
      <c r="V141" s="348" t="s">
        <v>983</v>
      </c>
      <c r="W141" s="348" t="s">
        <v>75</v>
      </c>
      <c r="X141" s="348">
        <f t="shared" si="2"/>
        <v>10</v>
      </c>
    </row>
    <row r="142" spans="1:24" ht="85.5" x14ac:dyDescent="0.2">
      <c r="A142" s="348" t="s">
        <v>432</v>
      </c>
      <c r="B142" s="348" t="s">
        <v>435</v>
      </c>
      <c r="C142" s="348">
        <v>0</v>
      </c>
      <c r="D142" s="348">
        <v>0</v>
      </c>
      <c r="E142" s="348">
        <v>0</v>
      </c>
      <c r="F142" s="348">
        <v>1</v>
      </c>
      <c r="G142" s="348">
        <v>0</v>
      </c>
      <c r="H142" s="348">
        <v>0</v>
      </c>
      <c r="I142" s="348">
        <v>0</v>
      </c>
      <c r="J142" s="348">
        <v>0</v>
      </c>
      <c r="K142" s="348"/>
      <c r="L142" s="348" t="s">
        <v>162</v>
      </c>
      <c r="M142" s="348" t="s">
        <v>983</v>
      </c>
      <c r="N142" s="348" t="s">
        <v>975</v>
      </c>
      <c r="O142" s="348" t="s">
        <v>975</v>
      </c>
      <c r="P142" s="348" t="s">
        <v>436</v>
      </c>
      <c r="Q142" s="348" t="s">
        <v>437</v>
      </c>
      <c r="R142" s="348"/>
      <c r="S142" s="348" t="s">
        <v>438</v>
      </c>
      <c r="T142" s="348" t="s">
        <v>1319</v>
      </c>
      <c r="U142" s="348" t="s">
        <v>40</v>
      </c>
      <c r="V142" s="348" t="s">
        <v>983</v>
      </c>
      <c r="W142" s="348" t="s">
        <v>75</v>
      </c>
      <c r="X142" s="348">
        <f t="shared" si="2"/>
        <v>10</v>
      </c>
    </row>
    <row r="143" spans="1:24" ht="85.5" x14ac:dyDescent="0.2">
      <c r="A143" s="225" t="s">
        <v>433</v>
      </c>
      <c r="B143" s="348" t="s">
        <v>440</v>
      </c>
      <c r="C143" s="348">
        <v>0</v>
      </c>
      <c r="D143" s="348">
        <v>0</v>
      </c>
      <c r="E143" s="348">
        <v>0</v>
      </c>
      <c r="F143" s="348">
        <v>1</v>
      </c>
      <c r="G143" s="348">
        <v>0</v>
      </c>
      <c r="H143" s="348">
        <v>0</v>
      </c>
      <c r="I143" s="348">
        <v>0</v>
      </c>
      <c r="J143" s="348">
        <v>0</v>
      </c>
      <c r="K143" s="348"/>
      <c r="L143" s="348" t="s">
        <v>162</v>
      </c>
      <c r="M143" s="348" t="s">
        <v>983</v>
      </c>
      <c r="N143" s="348" t="s">
        <v>975</v>
      </c>
      <c r="O143" s="348" t="s">
        <v>975</v>
      </c>
      <c r="P143" s="348" t="s">
        <v>441</v>
      </c>
      <c r="Q143" s="348" t="s">
        <v>1884</v>
      </c>
      <c r="R143" s="348"/>
      <c r="S143" s="348" t="s">
        <v>438</v>
      </c>
      <c r="T143" s="348" t="s">
        <v>1319</v>
      </c>
      <c r="U143" s="348" t="s">
        <v>40</v>
      </c>
      <c r="V143" s="348" t="s">
        <v>983</v>
      </c>
      <c r="W143" s="348" t="s">
        <v>75</v>
      </c>
      <c r="X143" s="348">
        <f t="shared" si="2"/>
        <v>10</v>
      </c>
    </row>
    <row r="144" spans="1:24" ht="192.75" customHeight="1" x14ac:dyDescent="0.2">
      <c r="A144" s="361" t="s">
        <v>434</v>
      </c>
      <c r="B144" s="361" t="s">
        <v>1006</v>
      </c>
      <c r="C144" s="348">
        <v>0</v>
      </c>
      <c r="D144" s="348">
        <v>0</v>
      </c>
      <c r="E144" s="348">
        <v>0</v>
      </c>
      <c r="F144" s="348">
        <v>1</v>
      </c>
      <c r="G144" s="348">
        <v>0</v>
      </c>
      <c r="H144" s="348">
        <v>0</v>
      </c>
      <c r="I144" s="348">
        <v>0</v>
      </c>
      <c r="J144" s="348">
        <v>0</v>
      </c>
      <c r="K144" s="348"/>
      <c r="L144" s="348" t="s">
        <v>162</v>
      </c>
      <c r="M144" s="348" t="s">
        <v>983</v>
      </c>
      <c r="N144" s="348" t="s">
        <v>975</v>
      </c>
      <c r="O144" s="348" t="s">
        <v>975</v>
      </c>
      <c r="P144" s="348" t="s">
        <v>443</v>
      </c>
      <c r="Q144" s="348" t="s">
        <v>444</v>
      </c>
      <c r="R144" s="348"/>
      <c r="S144" s="348" t="s">
        <v>1104</v>
      </c>
      <c r="T144" s="348" t="s">
        <v>445</v>
      </c>
      <c r="U144" s="348" t="s">
        <v>40</v>
      </c>
      <c r="V144" s="348" t="s">
        <v>983</v>
      </c>
      <c r="W144" s="348" t="s">
        <v>46</v>
      </c>
      <c r="X144" s="348">
        <f t="shared" si="2"/>
        <v>20</v>
      </c>
    </row>
    <row r="145" spans="1:24" ht="142.5" x14ac:dyDescent="0.2">
      <c r="A145" s="225" t="s">
        <v>439</v>
      </c>
      <c r="B145" s="348" t="s">
        <v>1471</v>
      </c>
      <c r="C145" s="348">
        <v>0</v>
      </c>
      <c r="D145" s="348">
        <v>0</v>
      </c>
      <c r="E145" s="348">
        <v>0</v>
      </c>
      <c r="F145" s="348">
        <v>1</v>
      </c>
      <c r="G145" s="348">
        <v>0</v>
      </c>
      <c r="H145" s="348">
        <v>0</v>
      </c>
      <c r="I145" s="348">
        <v>0</v>
      </c>
      <c r="J145" s="348">
        <v>0</v>
      </c>
      <c r="K145" s="348"/>
      <c r="L145" s="348" t="s">
        <v>162</v>
      </c>
      <c r="M145" s="348" t="s">
        <v>983</v>
      </c>
      <c r="N145" s="348" t="s">
        <v>975</v>
      </c>
      <c r="O145" s="348"/>
      <c r="P145" s="348" t="s">
        <v>975</v>
      </c>
      <c r="Q145" s="348" t="s">
        <v>975</v>
      </c>
      <c r="R145" s="348"/>
      <c r="S145" s="348" t="s">
        <v>1105</v>
      </c>
      <c r="T145" s="348" t="s">
        <v>447</v>
      </c>
      <c r="U145" s="348" t="s">
        <v>40</v>
      </c>
      <c r="V145" s="348" t="s">
        <v>983</v>
      </c>
      <c r="W145" s="348" t="s">
        <v>75</v>
      </c>
      <c r="X145" s="348">
        <f t="shared" si="2"/>
        <v>10</v>
      </c>
    </row>
    <row r="146" spans="1:24" ht="85.5" x14ac:dyDescent="0.2">
      <c r="A146" s="348" t="s">
        <v>442</v>
      </c>
      <c r="B146" s="348" t="s">
        <v>449</v>
      </c>
      <c r="C146" s="348">
        <v>0</v>
      </c>
      <c r="D146" s="348">
        <v>0</v>
      </c>
      <c r="E146" s="348">
        <v>0</v>
      </c>
      <c r="F146" s="348">
        <v>1</v>
      </c>
      <c r="G146" s="348">
        <v>0</v>
      </c>
      <c r="H146" s="348">
        <v>0</v>
      </c>
      <c r="I146" s="348">
        <v>0</v>
      </c>
      <c r="J146" s="348">
        <v>0</v>
      </c>
      <c r="K146" s="348"/>
      <c r="L146" s="348" t="s">
        <v>162</v>
      </c>
      <c r="M146" s="348" t="s">
        <v>983</v>
      </c>
      <c r="N146" s="348" t="s">
        <v>975</v>
      </c>
      <c r="O146" s="348" t="s">
        <v>450</v>
      </c>
      <c r="P146" s="348" t="s">
        <v>450</v>
      </c>
      <c r="Q146" s="348" t="s">
        <v>451</v>
      </c>
      <c r="R146" s="348"/>
      <c r="S146" s="348" t="s">
        <v>438</v>
      </c>
      <c r="T146" s="348" t="s">
        <v>1319</v>
      </c>
      <c r="U146" s="348" t="s">
        <v>40</v>
      </c>
      <c r="V146" s="348" t="s">
        <v>983</v>
      </c>
      <c r="W146" s="348" t="s">
        <v>75</v>
      </c>
      <c r="X146" s="348">
        <f t="shared" si="2"/>
        <v>10</v>
      </c>
    </row>
    <row r="147" spans="1:24" ht="85.5" x14ac:dyDescent="0.2">
      <c r="A147" s="225" t="s">
        <v>446</v>
      </c>
      <c r="B147" s="348" t="s">
        <v>453</v>
      </c>
      <c r="C147" s="348">
        <v>0</v>
      </c>
      <c r="D147" s="348">
        <v>0</v>
      </c>
      <c r="E147" s="348">
        <v>0</v>
      </c>
      <c r="F147" s="348">
        <v>1</v>
      </c>
      <c r="G147" s="348">
        <v>0</v>
      </c>
      <c r="H147" s="348">
        <v>0</v>
      </c>
      <c r="I147" s="348">
        <v>0</v>
      </c>
      <c r="J147" s="348">
        <v>0</v>
      </c>
      <c r="K147" s="348"/>
      <c r="L147" s="348" t="s">
        <v>162</v>
      </c>
      <c r="M147" s="348" t="s">
        <v>983</v>
      </c>
      <c r="N147" s="348" t="s">
        <v>975</v>
      </c>
      <c r="O147" s="348" t="s">
        <v>975</v>
      </c>
      <c r="P147" s="348" t="s">
        <v>454</v>
      </c>
      <c r="Q147" s="348" t="s">
        <v>455</v>
      </c>
      <c r="R147" s="348"/>
      <c r="S147" s="348" t="s">
        <v>438</v>
      </c>
      <c r="T147" s="348" t="s">
        <v>1319</v>
      </c>
      <c r="U147" s="348" t="s">
        <v>40</v>
      </c>
      <c r="V147" s="348" t="s">
        <v>983</v>
      </c>
      <c r="W147" s="348" t="s">
        <v>75</v>
      </c>
      <c r="X147" s="348">
        <f t="shared" si="2"/>
        <v>10</v>
      </c>
    </row>
    <row r="148" spans="1:24" ht="114" x14ac:dyDescent="0.2">
      <c r="A148" s="348" t="s">
        <v>448</v>
      </c>
      <c r="B148" s="348" t="s">
        <v>1460</v>
      </c>
      <c r="C148" s="348">
        <v>0</v>
      </c>
      <c r="D148" s="348">
        <v>0</v>
      </c>
      <c r="E148" s="348">
        <v>0</v>
      </c>
      <c r="F148" s="348">
        <v>1</v>
      </c>
      <c r="G148" s="348">
        <v>0</v>
      </c>
      <c r="H148" s="348">
        <v>0</v>
      </c>
      <c r="I148" s="348">
        <v>0</v>
      </c>
      <c r="J148" s="348">
        <v>0</v>
      </c>
      <c r="K148" s="348"/>
      <c r="L148" s="348" t="s">
        <v>162</v>
      </c>
      <c r="M148" s="348" t="s">
        <v>983</v>
      </c>
      <c r="N148" s="348" t="s">
        <v>975</v>
      </c>
      <c r="O148" s="348" t="s">
        <v>975</v>
      </c>
      <c r="P148" s="348" t="s">
        <v>457</v>
      </c>
      <c r="Q148" s="348" t="s">
        <v>458</v>
      </c>
      <c r="R148" s="348"/>
      <c r="S148" s="348" t="s">
        <v>254</v>
      </c>
      <c r="T148" s="348" t="s">
        <v>1274</v>
      </c>
      <c r="U148" s="348" t="s">
        <v>40</v>
      </c>
      <c r="V148" s="348" t="s">
        <v>983</v>
      </c>
      <c r="W148" s="348" t="s">
        <v>75</v>
      </c>
      <c r="X148" s="348">
        <f t="shared" si="2"/>
        <v>10</v>
      </c>
    </row>
    <row r="149" spans="1:24" ht="71.25" x14ac:dyDescent="0.2">
      <c r="A149" s="225" t="s">
        <v>452</v>
      </c>
      <c r="B149" s="348" t="s">
        <v>1106</v>
      </c>
      <c r="C149" s="348">
        <v>0</v>
      </c>
      <c r="D149" s="348">
        <v>0</v>
      </c>
      <c r="E149" s="348">
        <v>0</v>
      </c>
      <c r="F149" s="348">
        <v>1</v>
      </c>
      <c r="G149" s="348">
        <v>0</v>
      </c>
      <c r="H149" s="348">
        <v>0</v>
      </c>
      <c r="I149" s="348">
        <v>0</v>
      </c>
      <c r="J149" s="348">
        <v>0</v>
      </c>
      <c r="K149" s="348"/>
      <c r="L149" s="348" t="s">
        <v>162</v>
      </c>
      <c r="M149" s="348" t="s">
        <v>983</v>
      </c>
      <c r="N149" s="348" t="s">
        <v>975</v>
      </c>
      <c r="O149" s="348" t="s">
        <v>975</v>
      </c>
      <c r="P149" s="348" t="s">
        <v>459</v>
      </c>
      <c r="Q149" s="348" t="s">
        <v>975</v>
      </c>
      <c r="R149" s="348"/>
      <c r="S149" s="348" t="s">
        <v>460</v>
      </c>
      <c r="T149" s="348" t="s">
        <v>1320</v>
      </c>
      <c r="U149" s="348" t="s">
        <v>40</v>
      </c>
      <c r="V149" s="348" t="s">
        <v>983</v>
      </c>
      <c r="W149" s="348" t="s">
        <v>75</v>
      </c>
      <c r="X149" s="348">
        <f t="shared" si="2"/>
        <v>10</v>
      </c>
    </row>
    <row r="150" spans="1:24" ht="242.25" x14ac:dyDescent="0.2">
      <c r="A150" s="348" t="s">
        <v>456</v>
      </c>
      <c r="B150" s="348" t="s">
        <v>1321</v>
      </c>
      <c r="C150" s="348">
        <v>0</v>
      </c>
      <c r="D150" s="348">
        <v>0</v>
      </c>
      <c r="E150" s="348">
        <v>0</v>
      </c>
      <c r="F150" s="348">
        <v>1</v>
      </c>
      <c r="G150" s="348">
        <v>0</v>
      </c>
      <c r="H150" s="348">
        <v>0</v>
      </c>
      <c r="I150" s="348">
        <v>0</v>
      </c>
      <c r="J150" s="348">
        <v>0</v>
      </c>
      <c r="K150" s="348"/>
      <c r="L150" s="348" t="s">
        <v>162</v>
      </c>
      <c r="M150" s="348" t="s">
        <v>983</v>
      </c>
      <c r="N150" s="348" t="s">
        <v>975</v>
      </c>
      <c r="O150" s="348" t="s">
        <v>461</v>
      </c>
      <c r="P150" s="348" t="s">
        <v>461</v>
      </c>
      <c r="Q150" s="348" t="s">
        <v>461</v>
      </c>
      <c r="R150" s="348"/>
      <c r="S150" s="348" t="s">
        <v>1310</v>
      </c>
      <c r="T150" s="348" t="s">
        <v>1311</v>
      </c>
      <c r="U150" s="348" t="s">
        <v>148</v>
      </c>
      <c r="V150" s="348" t="s">
        <v>983</v>
      </c>
      <c r="W150" s="348" t="s">
        <v>75</v>
      </c>
      <c r="X150" s="348">
        <f t="shared" si="2"/>
        <v>10</v>
      </c>
    </row>
    <row r="151" spans="1:24" ht="183" customHeight="1" x14ac:dyDescent="0.2">
      <c r="A151" s="361" t="s">
        <v>462</v>
      </c>
      <c r="B151" s="361" t="s">
        <v>1007</v>
      </c>
      <c r="C151" s="348">
        <v>0</v>
      </c>
      <c r="D151" s="348">
        <v>0</v>
      </c>
      <c r="E151" s="348">
        <v>0</v>
      </c>
      <c r="F151" s="348">
        <v>1</v>
      </c>
      <c r="G151" s="348">
        <v>0</v>
      </c>
      <c r="H151" s="348">
        <v>0</v>
      </c>
      <c r="I151" s="348">
        <v>0</v>
      </c>
      <c r="J151" s="348">
        <v>1</v>
      </c>
      <c r="K151" s="348"/>
      <c r="L151" s="348" t="s">
        <v>162</v>
      </c>
      <c r="M151" s="348" t="s">
        <v>983</v>
      </c>
      <c r="N151" s="348" t="s">
        <v>1246</v>
      </c>
      <c r="O151" s="348" t="s">
        <v>975</v>
      </c>
      <c r="P151" s="348" t="s">
        <v>463</v>
      </c>
      <c r="Q151" s="348" t="s">
        <v>464</v>
      </c>
      <c r="R151" s="348"/>
      <c r="S151" s="348" t="s">
        <v>1444</v>
      </c>
      <c r="T151" s="348" t="s">
        <v>1445</v>
      </c>
      <c r="U151" s="348" t="s">
        <v>40</v>
      </c>
      <c r="V151" s="348" t="s">
        <v>983</v>
      </c>
      <c r="W151" s="348" t="s">
        <v>46</v>
      </c>
      <c r="X151" s="348">
        <f t="shared" si="2"/>
        <v>20</v>
      </c>
    </row>
    <row r="152" spans="1:24" ht="181.5" customHeight="1" x14ac:dyDescent="0.2">
      <c r="A152" s="361" t="s">
        <v>465</v>
      </c>
      <c r="B152" s="361" t="s">
        <v>1008</v>
      </c>
      <c r="C152" s="348">
        <v>0</v>
      </c>
      <c r="D152" s="348">
        <v>0</v>
      </c>
      <c r="E152" s="348">
        <v>0</v>
      </c>
      <c r="F152" s="348">
        <v>1</v>
      </c>
      <c r="G152" s="348">
        <v>0</v>
      </c>
      <c r="H152" s="348">
        <v>0</v>
      </c>
      <c r="I152" s="348">
        <v>0</v>
      </c>
      <c r="J152" s="348">
        <v>1</v>
      </c>
      <c r="K152" s="348"/>
      <c r="L152" s="348" t="s">
        <v>162</v>
      </c>
      <c r="M152" s="348" t="s">
        <v>983</v>
      </c>
      <c r="N152" s="348" t="s">
        <v>1246</v>
      </c>
      <c r="O152" s="348" t="s">
        <v>975</v>
      </c>
      <c r="P152" s="348" t="s">
        <v>471</v>
      </c>
      <c r="Q152" s="348" t="s">
        <v>472</v>
      </c>
      <c r="R152" s="348"/>
      <c r="S152" s="348" t="s">
        <v>473</v>
      </c>
      <c r="T152" s="348" t="s">
        <v>474</v>
      </c>
      <c r="U152" s="348" t="s">
        <v>40</v>
      </c>
      <c r="V152" s="348" t="s">
        <v>983</v>
      </c>
      <c r="W152" s="348" t="s">
        <v>46</v>
      </c>
      <c r="X152" s="348">
        <f t="shared" si="2"/>
        <v>20</v>
      </c>
    </row>
    <row r="153" spans="1:24" ht="204.75" customHeight="1" x14ac:dyDescent="0.2">
      <c r="A153" s="361" t="s">
        <v>470</v>
      </c>
      <c r="B153" s="361" t="s">
        <v>1107</v>
      </c>
      <c r="C153" s="348">
        <v>0</v>
      </c>
      <c r="D153" s="348">
        <v>0</v>
      </c>
      <c r="E153" s="348">
        <v>0</v>
      </c>
      <c r="F153" s="348">
        <v>1</v>
      </c>
      <c r="G153" s="348">
        <v>0</v>
      </c>
      <c r="H153" s="348">
        <v>0</v>
      </c>
      <c r="I153" s="348">
        <v>0</v>
      </c>
      <c r="J153" s="348">
        <v>1</v>
      </c>
      <c r="K153" s="348"/>
      <c r="L153" s="348" t="s">
        <v>162</v>
      </c>
      <c r="M153" s="348" t="s">
        <v>983</v>
      </c>
      <c r="N153" s="348" t="s">
        <v>1246</v>
      </c>
      <c r="O153" s="348" t="s">
        <v>975</v>
      </c>
      <c r="P153" s="348" t="s">
        <v>1108</v>
      </c>
      <c r="Q153" s="348" t="s">
        <v>476</v>
      </c>
      <c r="R153" s="348"/>
      <c r="S153" s="348" t="s">
        <v>1322</v>
      </c>
      <c r="T153" s="348" t="s">
        <v>477</v>
      </c>
      <c r="U153" s="348" t="s">
        <v>40</v>
      </c>
      <c r="V153" s="348" t="s">
        <v>983</v>
      </c>
      <c r="W153" s="348" t="s">
        <v>46</v>
      </c>
      <c r="X153" s="348">
        <f t="shared" si="2"/>
        <v>20</v>
      </c>
    </row>
    <row r="154" spans="1:24" ht="203.25" customHeight="1" x14ac:dyDescent="0.2">
      <c r="A154" s="361" t="s">
        <v>475</v>
      </c>
      <c r="B154" s="361" t="s">
        <v>1009</v>
      </c>
      <c r="C154" s="348">
        <v>0</v>
      </c>
      <c r="D154" s="348">
        <v>0</v>
      </c>
      <c r="E154" s="348">
        <v>0</v>
      </c>
      <c r="F154" s="348">
        <v>1</v>
      </c>
      <c r="G154" s="348">
        <v>0</v>
      </c>
      <c r="H154" s="348">
        <v>0</v>
      </c>
      <c r="I154" s="348">
        <v>0</v>
      </c>
      <c r="J154" s="348">
        <v>0</v>
      </c>
      <c r="K154" s="348"/>
      <c r="L154" s="348" t="s">
        <v>162</v>
      </c>
      <c r="M154" s="348" t="s">
        <v>983</v>
      </c>
      <c r="N154" s="348" t="s">
        <v>1246</v>
      </c>
      <c r="O154" s="348" t="s">
        <v>975</v>
      </c>
      <c r="P154" s="348" t="s">
        <v>1109</v>
      </c>
      <c r="Q154" s="348" t="s">
        <v>481</v>
      </c>
      <c r="R154" s="348" t="s">
        <v>1528</v>
      </c>
      <c r="S154" s="348" t="s">
        <v>1322</v>
      </c>
      <c r="T154" s="348" t="s">
        <v>1323</v>
      </c>
      <c r="U154" s="348" t="s">
        <v>40</v>
      </c>
      <c r="V154" s="348" t="s">
        <v>983</v>
      </c>
      <c r="W154" s="348" t="s">
        <v>46</v>
      </c>
      <c r="X154" s="348">
        <f t="shared" si="2"/>
        <v>20</v>
      </c>
    </row>
    <row r="155" spans="1:24" ht="185.25" x14ac:dyDescent="0.2">
      <c r="A155" s="361" t="s">
        <v>478</v>
      </c>
      <c r="B155" s="361" t="s">
        <v>1010</v>
      </c>
      <c r="C155" s="348">
        <v>0</v>
      </c>
      <c r="D155" s="348">
        <v>0</v>
      </c>
      <c r="E155" s="348">
        <v>0</v>
      </c>
      <c r="F155" s="348">
        <v>1</v>
      </c>
      <c r="G155" s="348">
        <v>0</v>
      </c>
      <c r="H155" s="348">
        <v>0</v>
      </c>
      <c r="I155" s="348">
        <v>0</v>
      </c>
      <c r="J155" s="348">
        <v>0</v>
      </c>
      <c r="K155" s="348"/>
      <c r="L155" s="348" t="s">
        <v>162</v>
      </c>
      <c r="M155" s="348" t="s">
        <v>983</v>
      </c>
      <c r="N155" s="348" t="s">
        <v>1246</v>
      </c>
      <c r="O155" s="348" t="s">
        <v>975</v>
      </c>
      <c r="P155" s="348" t="s">
        <v>500</v>
      </c>
      <c r="Q155" s="348" t="s">
        <v>501</v>
      </c>
      <c r="R155" s="348"/>
      <c r="S155" s="348" t="s">
        <v>502</v>
      </c>
      <c r="T155" s="348" t="s">
        <v>1324</v>
      </c>
      <c r="U155" s="348" t="s">
        <v>40</v>
      </c>
      <c r="V155" s="348" t="s">
        <v>983</v>
      </c>
      <c r="W155" s="348" t="s">
        <v>46</v>
      </c>
      <c r="X155" s="348">
        <f t="shared" si="2"/>
        <v>20</v>
      </c>
    </row>
    <row r="156" spans="1:24" ht="165.75" customHeight="1" x14ac:dyDescent="0.2">
      <c r="A156" s="348" t="s">
        <v>480</v>
      </c>
      <c r="B156" s="348" t="s">
        <v>1110</v>
      </c>
      <c r="C156" s="348">
        <v>0</v>
      </c>
      <c r="D156" s="348">
        <v>0</v>
      </c>
      <c r="E156" s="348">
        <v>0</v>
      </c>
      <c r="F156" s="348">
        <v>1</v>
      </c>
      <c r="G156" s="348">
        <v>0</v>
      </c>
      <c r="H156" s="348">
        <v>0</v>
      </c>
      <c r="I156" s="348">
        <v>0</v>
      </c>
      <c r="J156" s="348">
        <v>1</v>
      </c>
      <c r="K156" s="348"/>
      <c r="L156" s="348" t="s">
        <v>162</v>
      </c>
      <c r="M156" s="348" t="s">
        <v>983</v>
      </c>
      <c r="N156" s="348" t="s">
        <v>1246</v>
      </c>
      <c r="O156" s="348" t="s">
        <v>975</v>
      </c>
      <c r="P156" s="348" t="s">
        <v>466</v>
      </c>
      <c r="Q156" s="348" t="s">
        <v>467</v>
      </c>
      <c r="R156" s="348"/>
      <c r="S156" s="348" t="s">
        <v>468</v>
      </c>
      <c r="T156" s="348" t="s">
        <v>469</v>
      </c>
      <c r="U156" s="348" t="s">
        <v>40</v>
      </c>
      <c r="V156" s="348" t="s">
        <v>983</v>
      </c>
      <c r="W156" s="348" t="s">
        <v>75</v>
      </c>
      <c r="X156" s="348">
        <f t="shared" si="2"/>
        <v>10</v>
      </c>
    </row>
    <row r="157" spans="1:24" ht="216" customHeight="1" x14ac:dyDescent="0.2">
      <c r="A157" s="348" t="s">
        <v>482</v>
      </c>
      <c r="B157" s="348" t="s">
        <v>1111</v>
      </c>
      <c r="C157" s="348">
        <v>0</v>
      </c>
      <c r="D157" s="348">
        <v>0</v>
      </c>
      <c r="E157" s="348">
        <v>0</v>
      </c>
      <c r="F157" s="348">
        <v>1</v>
      </c>
      <c r="G157" s="348">
        <v>0</v>
      </c>
      <c r="H157" s="348">
        <v>0</v>
      </c>
      <c r="I157" s="348">
        <v>0</v>
      </c>
      <c r="J157" s="348">
        <v>1</v>
      </c>
      <c r="K157" s="348"/>
      <c r="L157" s="348" t="s">
        <v>162</v>
      </c>
      <c r="M157" s="348" t="s">
        <v>983</v>
      </c>
      <c r="N157" s="348" t="s">
        <v>1246</v>
      </c>
      <c r="O157" s="348" t="s">
        <v>975</v>
      </c>
      <c r="P157" s="348" t="s">
        <v>1112</v>
      </c>
      <c r="Q157" s="348" t="s">
        <v>479</v>
      </c>
      <c r="R157" s="348"/>
      <c r="S157" s="348" t="s">
        <v>1325</v>
      </c>
      <c r="T157" s="348" t="s">
        <v>1113</v>
      </c>
      <c r="U157" s="348" t="s">
        <v>40</v>
      </c>
      <c r="V157" s="348" t="s">
        <v>983</v>
      </c>
      <c r="W157" s="348" t="s">
        <v>75</v>
      </c>
      <c r="X157" s="348">
        <f t="shared" si="2"/>
        <v>10</v>
      </c>
    </row>
    <row r="158" spans="1:24" ht="210.75" customHeight="1" x14ac:dyDescent="0.2">
      <c r="A158" s="348" t="s">
        <v>485</v>
      </c>
      <c r="B158" s="348" t="s">
        <v>483</v>
      </c>
      <c r="C158" s="348">
        <v>0</v>
      </c>
      <c r="D158" s="348">
        <v>0</v>
      </c>
      <c r="E158" s="348">
        <v>0</v>
      </c>
      <c r="F158" s="348">
        <v>1</v>
      </c>
      <c r="G158" s="348">
        <v>0</v>
      </c>
      <c r="H158" s="348">
        <v>0</v>
      </c>
      <c r="I158" s="348">
        <v>0</v>
      </c>
      <c r="J158" s="348">
        <v>0</v>
      </c>
      <c r="K158" s="348"/>
      <c r="L158" s="348" t="s">
        <v>162</v>
      </c>
      <c r="M158" s="348" t="s">
        <v>983</v>
      </c>
      <c r="N158" s="348" t="s">
        <v>1246</v>
      </c>
      <c r="O158" s="348" t="s">
        <v>975</v>
      </c>
      <c r="P158" s="348" t="s">
        <v>1114</v>
      </c>
      <c r="Q158" s="348" t="s">
        <v>484</v>
      </c>
      <c r="R158" s="348" t="s">
        <v>1528</v>
      </c>
      <c r="S158" s="348" t="s">
        <v>1325</v>
      </c>
      <c r="T158" s="348" t="s">
        <v>1326</v>
      </c>
      <c r="U158" s="348" t="s">
        <v>40</v>
      </c>
      <c r="V158" s="348" t="s">
        <v>983</v>
      </c>
      <c r="W158" s="348" t="s">
        <v>75</v>
      </c>
      <c r="X158" s="348">
        <f t="shared" si="2"/>
        <v>10</v>
      </c>
    </row>
    <row r="159" spans="1:24" ht="175.5" customHeight="1" x14ac:dyDescent="0.2">
      <c r="A159" s="348" t="s">
        <v>490</v>
      </c>
      <c r="B159" s="348" t="s">
        <v>486</v>
      </c>
      <c r="C159" s="348">
        <v>0</v>
      </c>
      <c r="D159" s="348">
        <v>0</v>
      </c>
      <c r="E159" s="348">
        <v>0</v>
      </c>
      <c r="F159" s="348">
        <v>1</v>
      </c>
      <c r="G159" s="348">
        <v>0</v>
      </c>
      <c r="H159" s="348">
        <v>0</v>
      </c>
      <c r="I159" s="348">
        <v>0</v>
      </c>
      <c r="J159" s="348">
        <v>0</v>
      </c>
      <c r="K159" s="348"/>
      <c r="L159" s="348" t="s">
        <v>162</v>
      </c>
      <c r="M159" s="348" t="s">
        <v>983</v>
      </c>
      <c r="N159" s="348" t="s">
        <v>1246</v>
      </c>
      <c r="O159" s="348" t="s">
        <v>975</v>
      </c>
      <c r="P159" s="348" t="s">
        <v>487</v>
      </c>
      <c r="Q159" s="348" t="s">
        <v>488</v>
      </c>
      <c r="R159" s="348"/>
      <c r="S159" s="348" t="s">
        <v>1327</v>
      </c>
      <c r="T159" s="348" t="s">
        <v>489</v>
      </c>
      <c r="U159" s="348" t="s">
        <v>40</v>
      </c>
      <c r="V159" s="348" t="s">
        <v>983</v>
      </c>
      <c r="W159" s="348" t="s">
        <v>75</v>
      </c>
      <c r="X159" s="348">
        <f t="shared" si="2"/>
        <v>10</v>
      </c>
    </row>
    <row r="160" spans="1:24" ht="192.75" customHeight="1" x14ac:dyDescent="0.2">
      <c r="A160" s="348" t="s">
        <v>495</v>
      </c>
      <c r="B160" s="348" t="s">
        <v>496</v>
      </c>
      <c r="C160" s="348">
        <v>0</v>
      </c>
      <c r="D160" s="348">
        <v>0</v>
      </c>
      <c r="E160" s="348">
        <v>0</v>
      </c>
      <c r="F160" s="348">
        <v>1</v>
      </c>
      <c r="G160" s="348">
        <v>0</v>
      </c>
      <c r="H160" s="348">
        <v>0</v>
      </c>
      <c r="I160" s="348">
        <v>0</v>
      </c>
      <c r="J160" s="348">
        <v>0</v>
      </c>
      <c r="K160" s="348"/>
      <c r="L160" s="348" t="s">
        <v>1004</v>
      </c>
      <c r="M160" s="348" t="s">
        <v>983</v>
      </c>
      <c r="N160" s="348" t="s">
        <v>1246</v>
      </c>
      <c r="O160" s="348" t="s">
        <v>497</v>
      </c>
      <c r="P160" s="348" t="s">
        <v>497</v>
      </c>
      <c r="Q160" s="348" t="s">
        <v>497</v>
      </c>
      <c r="R160" s="348"/>
      <c r="S160" s="348" t="s">
        <v>1328</v>
      </c>
      <c r="T160" s="348" t="s">
        <v>498</v>
      </c>
      <c r="U160" s="348" t="s">
        <v>1004</v>
      </c>
      <c r="V160" s="348" t="s">
        <v>983</v>
      </c>
      <c r="W160" s="348"/>
      <c r="X160" s="348"/>
    </row>
    <row r="161" spans="1:24" ht="185.25" x14ac:dyDescent="0.2">
      <c r="A161" s="348" t="s">
        <v>499</v>
      </c>
      <c r="B161" s="348" t="s">
        <v>491</v>
      </c>
      <c r="C161" s="348">
        <v>0</v>
      </c>
      <c r="D161" s="348">
        <v>0</v>
      </c>
      <c r="E161" s="348">
        <v>0</v>
      </c>
      <c r="F161" s="348">
        <v>1</v>
      </c>
      <c r="G161" s="348">
        <v>0</v>
      </c>
      <c r="H161" s="348">
        <v>0</v>
      </c>
      <c r="I161" s="348">
        <v>0</v>
      </c>
      <c r="J161" s="348">
        <v>1</v>
      </c>
      <c r="K161" s="348"/>
      <c r="L161" s="348" t="s">
        <v>162</v>
      </c>
      <c r="M161" s="348" t="s">
        <v>983</v>
      </c>
      <c r="N161" s="348" t="s">
        <v>1246</v>
      </c>
      <c r="O161" s="348" t="s">
        <v>975</v>
      </c>
      <c r="P161" s="348" t="s">
        <v>492</v>
      </c>
      <c r="Q161" s="348" t="s">
        <v>493</v>
      </c>
      <c r="R161" s="348"/>
      <c r="S161" s="348" t="s">
        <v>1329</v>
      </c>
      <c r="T161" s="348" t="s">
        <v>494</v>
      </c>
      <c r="U161" s="348" t="s">
        <v>40</v>
      </c>
      <c r="V161" s="348" t="s">
        <v>983</v>
      </c>
      <c r="W161" s="348" t="s">
        <v>41</v>
      </c>
      <c r="X161" s="348">
        <f t="shared" si="2"/>
        <v>5</v>
      </c>
    </row>
    <row r="162" spans="1:24" ht="171" x14ac:dyDescent="0.2">
      <c r="A162" s="361" t="s">
        <v>503</v>
      </c>
      <c r="B162" s="361" t="s">
        <v>1011</v>
      </c>
      <c r="C162" s="348">
        <v>0</v>
      </c>
      <c r="D162" s="348">
        <v>1</v>
      </c>
      <c r="E162" s="348">
        <v>0</v>
      </c>
      <c r="F162" s="348">
        <v>0</v>
      </c>
      <c r="G162" s="348">
        <v>0</v>
      </c>
      <c r="H162" s="348">
        <v>0</v>
      </c>
      <c r="I162" s="348">
        <v>0</v>
      </c>
      <c r="J162" s="348">
        <v>0</v>
      </c>
      <c r="K162" s="348"/>
      <c r="L162" s="348" t="s">
        <v>131</v>
      </c>
      <c r="M162" s="348" t="s">
        <v>983</v>
      </c>
      <c r="N162" s="348" t="s">
        <v>975</v>
      </c>
      <c r="O162" s="348" t="s">
        <v>975</v>
      </c>
      <c r="P162" s="348" t="s">
        <v>975</v>
      </c>
      <c r="Q162" s="348" t="s">
        <v>975</v>
      </c>
      <c r="R162" s="348"/>
      <c r="S162" s="348" t="s">
        <v>1330</v>
      </c>
      <c r="T162" s="348" t="s">
        <v>1331</v>
      </c>
      <c r="U162" s="348" t="s">
        <v>40</v>
      </c>
      <c r="V162" s="348" t="s">
        <v>983</v>
      </c>
      <c r="W162" s="348" t="s">
        <v>46</v>
      </c>
      <c r="X162" s="348">
        <f t="shared" si="2"/>
        <v>20</v>
      </c>
    </row>
    <row r="163" spans="1:24" ht="114" x14ac:dyDescent="0.2">
      <c r="A163" s="361" t="s">
        <v>504</v>
      </c>
      <c r="B163" s="361" t="s">
        <v>1012</v>
      </c>
      <c r="C163" s="348">
        <v>0</v>
      </c>
      <c r="D163" s="348">
        <v>1</v>
      </c>
      <c r="E163" s="348">
        <v>0</v>
      </c>
      <c r="F163" s="348">
        <v>0</v>
      </c>
      <c r="G163" s="348">
        <v>0</v>
      </c>
      <c r="H163" s="348">
        <v>0</v>
      </c>
      <c r="I163" s="348">
        <v>0</v>
      </c>
      <c r="J163" s="348">
        <v>0</v>
      </c>
      <c r="K163" s="348"/>
      <c r="L163" s="348" t="s">
        <v>131</v>
      </c>
      <c r="M163" s="348" t="s">
        <v>983</v>
      </c>
      <c r="N163" s="348" t="s">
        <v>975</v>
      </c>
      <c r="O163" s="348" t="s">
        <v>975</v>
      </c>
      <c r="P163" s="348" t="s">
        <v>518</v>
      </c>
      <c r="Q163" s="348" t="s">
        <v>519</v>
      </c>
      <c r="R163" s="348"/>
      <c r="S163" s="348" t="s">
        <v>1332</v>
      </c>
      <c r="T163" s="348" t="s">
        <v>1333</v>
      </c>
      <c r="U163" s="348" t="s">
        <v>40</v>
      </c>
      <c r="V163" s="348" t="s">
        <v>983</v>
      </c>
      <c r="W163" s="348" t="s">
        <v>46</v>
      </c>
      <c r="X163" s="348">
        <f t="shared" si="2"/>
        <v>20</v>
      </c>
    </row>
    <row r="164" spans="1:24" ht="114" x14ac:dyDescent="0.2">
      <c r="A164" s="361" t="s">
        <v>506</v>
      </c>
      <c r="B164" s="361" t="s">
        <v>1027</v>
      </c>
      <c r="C164" s="348">
        <v>0</v>
      </c>
      <c r="D164" s="348">
        <v>1</v>
      </c>
      <c r="E164" s="348">
        <v>0</v>
      </c>
      <c r="F164" s="348">
        <v>0</v>
      </c>
      <c r="G164" s="348">
        <v>0</v>
      </c>
      <c r="H164" s="348">
        <v>0</v>
      </c>
      <c r="I164" s="348">
        <v>0</v>
      </c>
      <c r="J164" s="348">
        <v>0</v>
      </c>
      <c r="K164" s="348"/>
      <c r="L164" s="348" t="s">
        <v>131</v>
      </c>
      <c r="M164" s="348" t="s">
        <v>983</v>
      </c>
      <c r="N164" s="348" t="s">
        <v>975</v>
      </c>
      <c r="O164" s="348" t="s">
        <v>521</v>
      </c>
      <c r="P164" s="348" t="s">
        <v>521</v>
      </c>
      <c r="Q164" s="348" t="s">
        <v>521</v>
      </c>
      <c r="R164" s="348"/>
      <c r="S164" s="348" t="s">
        <v>1334</v>
      </c>
      <c r="T164" s="348" t="s">
        <v>1335</v>
      </c>
      <c r="U164" s="348" t="s">
        <v>40</v>
      </c>
      <c r="V164" s="348" t="s">
        <v>983</v>
      </c>
      <c r="W164" s="348" t="s">
        <v>46</v>
      </c>
      <c r="X164" s="348">
        <f t="shared" si="2"/>
        <v>20</v>
      </c>
    </row>
    <row r="165" spans="1:24" ht="185.25" x14ac:dyDescent="0.2">
      <c r="A165" s="348" t="s">
        <v>510</v>
      </c>
      <c r="B165" s="348" t="s">
        <v>505</v>
      </c>
      <c r="C165" s="348">
        <v>0</v>
      </c>
      <c r="D165" s="348">
        <v>1</v>
      </c>
      <c r="E165" s="348">
        <v>0</v>
      </c>
      <c r="F165" s="348">
        <v>0</v>
      </c>
      <c r="G165" s="348">
        <v>0</v>
      </c>
      <c r="H165" s="348">
        <v>0</v>
      </c>
      <c r="I165" s="348">
        <v>0</v>
      </c>
      <c r="J165" s="348">
        <v>0</v>
      </c>
      <c r="K165" s="348"/>
      <c r="L165" s="348" t="s">
        <v>131</v>
      </c>
      <c r="M165" s="348" t="s">
        <v>983</v>
      </c>
      <c r="N165" s="348" t="s">
        <v>975</v>
      </c>
      <c r="O165" s="348" t="s">
        <v>975</v>
      </c>
      <c r="P165" s="348" t="s">
        <v>975</v>
      </c>
      <c r="Q165" s="348" t="s">
        <v>975</v>
      </c>
      <c r="R165" s="348"/>
      <c r="S165" s="348" t="s">
        <v>1296</v>
      </c>
      <c r="T165" s="348" t="s">
        <v>1297</v>
      </c>
      <c r="U165" s="348" t="s">
        <v>40</v>
      </c>
      <c r="V165" s="348" t="s">
        <v>983</v>
      </c>
      <c r="W165" s="348" t="s">
        <v>75</v>
      </c>
      <c r="X165" s="348">
        <f t="shared" si="2"/>
        <v>10</v>
      </c>
    </row>
    <row r="166" spans="1:24" ht="199.5" x14ac:dyDescent="0.2">
      <c r="A166" s="348" t="s">
        <v>514</v>
      </c>
      <c r="B166" s="348" t="s">
        <v>511</v>
      </c>
      <c r="C166" s="348">
        <v>0</v>
      </c>
      <c r="D166" s="348">
        <v>1</v>
      </c>
      <c r="E166" s="348">
        <v>0</v>
      </c>
      <c r="F166" s="348">
        <v>0</v>
      </c>
      <c r="G166" s="348">
        <v>0</v>
      </c>
      <c r="H166" s="348">
        <v>0</v>
      </c>
      <c r="I166" s="348">
        <v>0</v>
      </c>
      <c r="J166" s="348">
        <v>1</v>
      </c>
      <c r="K166" s="348"/>
      <c r="L166" s="348" t="s">
        <v>131</v>
      </c>
      <c r="M166" s="348" t="s">
        <v>983</v>
      </c>
      <c r="N166" s="348" t="s">
        <v>975</v>
      </c>
      <c r="O166" s="348" t="s">
        <v>975</v>
      </c>
      <c r="P166" s="348" t="s">
        <v>512</v>
      </c>
      <c r="Q166" s="348" t="s">
        <v>513</v>
      </c>
      <c r="R166" s="348"/>
      <c r="S166" s="348" t="s">
        <v>1336</v>
      </c>
      <c r="T166" s="348" t="s">
        <v>1337</v>
      </c>
      <c r="U166" s="348" t="s">
        <v>40</v>
      </c>
      <c r="V166" s="348" t="s">
        <v>983</v>
      </c>
      <c r="W166" s="348" t="s">
        <v>75</v>
      </c>
      <c r="X166" s="348">
        <f t="shared" si="2"/>
        <v>10</v>
      </c>
    </row>
    <row r="167" spans="1:24" ht="196.5" customHeight="1" x14ac:dyDescent="0.2">
      <c r="A167" s="348" t="s">
        <v>517</v>
      </c>
      <c r="B167" s="348" t="s">
        <v>523</v>
      </c>
      <c r="C167" s="348">
        <v>0</v>
      </c>
      <c r="D167" s="348">
        <v>1</v>
      </c>
      <c r="E167" s="348">
        <v>0</v>
      </c>
      <c r="F167" s="348">
        <v>0</v>
      </c>
      <c r="G167" s="348">
        <v>0</v>
      </c>
      <c r="H167" s="348">
        <v>0</v>
      </c>
      <c r="I167" s="348">
        <v>0</v>
      </c>
      <c r="J167" s="348">
        <v>0</v>
      </c>
      <c r="K167" s="348"/>
      <c r="L167" s="348" t="s">
        <v>131</v>
      </c>
      <c r="M167" s="348" t="s">
        <v>983</v>
      </c>
      <c r="N167" s="348" t="s">
        <v>975</v>
      </c>
      <c r="O167" s="348" t="s">
        <v>975</v>
      </c>
      <c r="P167" s="348" t="s">
        <v>524</v>
      </c>
      <c r="Q167" s="348" t="s">
        <v>525</v>
      </c>
      <c r="R167" s="348"/>
      <c r="S167" s="348" t="s">
        <v>1338</v>
      </c>
      <c r="T167" s="348" t="s">
        <v>1339</v>
      </c>
      <c r="U167" s="348" t="s">
        <v>40</v>
      </c>
      <c r="V167" s="348" t="s">
        <v>983</v>
      </c>
      <c r="W167" s="348" t="s">
        <v>75</v>
      </c>
      <c r="X167" s="348">
        <f t="shared" si="2"/>
        <v>10</v>
      </c>
    </row>
    <row r="168" spans="1:24" ht="156.75" x14ac:dyDescent="0.2">
      <c r="A168" s="348" t="s">
        <v>520</v>
      </c>
      <c r="B168" s="348" t="s">
        <v>527</v>
      </c>
      <c r="C168" s="348">
        <v>0</v>
      </c>
      <c r="D168" s="348">
        <v>1</v>
      </c>
      <c r="E168" s="348">
        <v>0</v>
      </c>
      <c r="F168" s="348">
        <v>0</v>
      </c>
      <c r="G168" s="348">
        <v>0</v>
      </c>
      <c r="H168" s="348">
        <v>0</v>
      </c>
      <c r="I168" s="348">
        <v>0</v>
      </c>
      <c r="J168" s="348">
        <v>0</v>
      </c>
      <c r="K168" s="348"/>
      <c r="L168" s="348" t="s">
        <v>131</v>
      </c>
      <c r="M168" s="348" t="s">
        <v>983</v>
      </c>
      <c r="N168" s="348" t="s">
        <v>975</v>
      </c>
      <c r="O168" s="348" t="s">
        <v>975</v>
      </c>
      <c r="P168" s="348" t="s">
        <v>528</v>
      </c>
      <c r="Q168" s="348" t="s">
        <v>529</v>
      </c>
      <c r="R168" s="348"/>
      <c r="S168" s="348" t="s">
        <v>530</v>
      </c>
      <c r="T168" s="348" t="s">
        <v>1340</v>
      </c>
      <c r="U168" s="348" t="s">
        <v>40</v>
      </c>
      <c r="V168" s="348" t="s">
        <v>983</v>
      </c>
      <c r="W168" s="348" t="s">
        <v>75</v>
      </c>
      <c r="X168" s="348">
        <f t="shared" si="2"/>
        <v>10</v>
      </c>
    </row>
    <row r="169" spans="1:24" ht="409.5" x14ac:dyDescent="0.2">
      <c r="A169" s="348" t="s">
        <v>522</v>
      </c>
      <c r="B169" s="348" t="s">
        <v>532</v>
      </c>
      <c r="C169" s="348">
        <v>0</v>
      </c>
      <c r="D169" s="348">
        <v>1</v>
      </c>
      <c r="E169" s="348">
        <v>0</v>
      </c>
      <c r="F169" s="348">
        <v>0</v>
      </c>
      <c r="G169" s="348">
        <v>0</v>
      </c>
      <c r="H169" s="348">
        <v>0</v>
      </c>
      <c r="I169" s="348">
        <v>0</v>
      </c>
      <c r="J169" s="348">
        <v>1</v>
      </c>
      <c r="K169" s="348"/>
      <c r="L169" s="348" t="s">
        <v>131</v>
      </c>
      <c r="M169" s="348" t="s">
        <v>983</v>
      </c>
      <c r="N169" s="348" t="s">
        <v>975</v>
      </c>
      <c r="O169" s="348" t="s">
        <v>975</v>
      </c>
      <c r="P169" s="348" t="s">
        <v>533</v>
      </c>
      <c r="Q169" s="348" t="s">
        <v>534</v>
      </c>
      <c r="R169" s="348"/>
      <c r="S169" s="348" t="s">
        <v>1341</v>
      </c>
      <c r="T169" s="348" t="s">
        <v>1342</v>
      </c>
      <c r="U169" s="348" t="s">
        <v>40</v>
      </c>
      <c r="V169" s="348" t="s">
        <v>983</v>
      </c>
      <c r="W169" s="348" t="s">
        <v>75</v>
      </c>
      <c r="X169" s="348">
        <f t="shared" si="2"/>
        <v>10</v>
      </c>
    </row>
    <row r="170" spans="1:24" ht="185.25" x14ac:dyDescent="0.2">
      <c r="A170" s="348" t="s">
        <v>526</v>
      </c>
      <c r="B170" s="348" t="s">
        <v>507</v>
      </c>
      <c r="C170" s="348">
        <v>0</v>
      </c>
      <c r="D170" s="348">
        <v>1</v>
      </c>
      <c r="E170" s="348">
        <v>0</v>
      </c>
      <c r="F170" s="348">
        <v>0</v>
      </c>
      <c r="G170" s="348">
        <v>0</v>
      </c>
      <c r="H170" s="348">
        <v>0</v>
      </c>
      <c r="I170" s="348">
        <v>0</v>
      </c>
      <c r="J170" s="348">
        <v>1</v>
      </c>
      <c r="K170" s="348"/>
      <c r="L170" s="348" t="s">
        <v>131</v>
      </c>
      <c r="M170" s="348" t="s">
        <v>983</v>
      </c>
      <c r="N170" s="348" t="s">
        <v>975</v>
      </c>
      <c r="O170" s="348" t="s">
        <v>975</v>
      </c>
      <c r="P170" s="348" t="s">
        <v>508</v>
      </c>
      <c r="Q170" s="348" t="s">
        <v>509</v>
      </c>
      <c r="R170" s="348"/>
      <c r="S170" s="348" t="s">
        <v>1261</v>
      </c>
      <c r="T170" s="348" t="s">
        <v>1262</v>
      </c>
      <c r="U170" s="348" t="s">
        <v>40</v>
      </c>
      <c r="V170" s="348" t="s">
        <v>983</v>
      </c>
      <c r="W170" s="348" t="s">
        <v>41</v>
      </c>
      <c r="X170" s="348">
        <f t="shared" si="2"/>
        <v>5</v>
      </c>
    </row>
    <row r="171" spans="1:24" ht="114" x14ac:dyDescent="0.2">
      <c r="A171" s="348" t="s">
        <v>531</v>
      </c>
      <c r="B171" s="348" t="s">
        <v>515</v>
      </c>
      <c r="C171" s="348">
        <v>0</v>
      </c>
      <c r="D171" s="348">
        <v>1</v>
      </c>
      <c r="E171" s="348">
        <v>0</v>
      </c>
      <c r="F171" s="348">
        <v>0</v>
      </c>
      <c r="G171" s="348">
        <v>0</v>
      </c>
      <c r="H171" s="348">
        <v>0</v>
      </c>
      <c r="I171" s="348">
        <v>0</v>
      </c>
      <c r="J171" s="348">
        <v>0</v>
      </c>
      <c r="K171" s="348"/>
      <c r="L171" s="348" t="s">
        <v>131</v>
      </c>
      <c r="M171" s="348" t="s">
        <v>983</v>
      </c>
      <c r="N171" s="348" t="s">
        <v>975</v>
      </c>
      <c r="O171" s="348" t="s">
        <v>975</v>
      </c>
      <c r="P171" s="348" t="s">
        <v>1885</v>
      </c>
      <c r="Q171" s="348" t="s">
        <v>516</v>
      </c>
      <c r="R171" s="348"/>
      <c r="S171" s="348" t="s">
        <v>1334</v>
      </c>
      <c r="T171" s="348" t="s">
        <v>1335</v>
      </c>
      <c r="U171" s="348" t="s">
        <v>40</v>
      </c>
      <c r="V171" s="348" t="s">
        <v>983</v>
      </c>
      <c r="W171" s="348" t="s">
        <v>41</v>
      </c>
      <c r="X171" s="348">
        <f t="shared" si="2"/>
        <v>5</v>
      </c>
    </row>
    <row r="172" spans="1:24" ht="240" customHeight="1" x14ac:dyDescent="0.2">
      <c r="A172" s="348" t="s">
        <v>535</v>
      </c>
      <c r="B172" s="348" t="s">
        <v>536</v>
      </c>
      <c r="C172" s="348">
        <v>0</v>
      </c>
      <c r="D172" s="348">
        <v>1</v>
      </c>
      <c r="E172" s="348">
        <v>0</v>
      </c>
      <c r="F172" s="348">
        <v>0</v>
      </c>
      <c r="G172" s="348">
        <v>0</v>
      </c>
      <c r="H172" s="348">
        <v>0</v>
      </c>
      <c r="I172" s="348">
        <v>0</v>
      </c>
      <c r="J172" s="348">
        <v>1</v>
      </c>
      <c r="K172" s="348"/>
      <c r="L172" s="348" t="s">
        <v>131</v>
      </c>
      <c r="M172" s="348" t="s">
        <v>983</v>
      </c>
      <c r="N172" s="348" t="s">
        <v>975</v>
      </c>
      <c r="O172" s="348" t="s">
        <v>975</v>
      </c>
      <c r="P172" s="348" t="s">
        <v>537</v>
      </c>
      <c r="Q172" s="348" t="s">
        <v>538</v>
      </c>
      <c r="R172" s="348"/>
      <c r="S172" s="348" t="s">
        <v>1886</v>
      </c>
      <c r="T172" s="348" t="s">
        <v>539</v>
      </c>
      <c r="U172" s="348" t="s">
        <v>40</v>
      </c>
      <c r="V172" s="348" t="s">
        <v>983</v>
      </c>
      <c r="W172" s="348" t="s">
        <v>41</v>
      </c>
      <c r="X172" s="348">
        <f t="shared" si="2"/>
        <v>5</v>
      </c>
    </row>
    <row r="173" spans="1:24" ht="243" customHeight="1" x14ac:dyDescent="0.2">
      <c r="A173" s="348" t="s">
        <v>540</v>
      </c>
      <c r="B173" s="348" t="s">
        <v>541</v>
      </c>
      <c r="C173" s="348">
        <v>0</v>
      </c>
      <c r="D173" s="348">
        <v>1</v>
      </c>
      <c r="E173" s="348">
        <v>0</v>
      </c>
      <c r="F173" s="348">
        <v>0</v>
      </c>
      <c r="G173" s="348">
        <v>0</v>
      </c>
      <c r="H173" s="348">
        <v>0</v>
      </c>
      <c r="I173" s="348">
        <v>0</v>
      </c>
      <c r="J173" s="348">
        <v>1</v>
      </c>
      <c r="K173" s="348"/>
      <c r="L173" s="348" t="s">
        <v>131</v>
      </c>
      <c r="M173" s="348" t="s">
        <v>983</v>
      </c>
      <c r="N173" s="348" t="s">
        <v>975</v>
      </c>
      <c r="O173" s="348" t="s">
        <v>975</v>
      </c>
      <c r="P173" s="348" t="s">
        <v>542</v>
      </c>
      <c r="Q173" s="348" t="s">
        <v>543</v>
      </c>
      <c r="R173" s="348"/>
      <c r="S173" s="348" t="s">
        <v>1886</v>
      </c>
      <c r="T173" s="348" t="s">
        <v>539</v>
      </c>
      <c r="U173" s="348" t="s">
        <v>40</v>
      </c>
      <c r="V173" s="348" t="s">
        <v>983</v>
      </c>
      <c r="W173" s="348" t="s">
        <v>41</v>
      </c>
      <c r="X173" s="348">
        <f t="shared" si="2"/>
        <v>5</v>
      </c>
    </row>
    <row r="174" spans="1:24" ht="199.5" x14ac:dyDescent="0.2">
      <c r="A174" s="348" t="s">
        <v>544</v>
      </c>
      <c r="B174" s="348" t="s">
        <v>545</v>
      </c>
      <c r="C174" s="348">
        <v>0</v>
      </c>
      <c r="D174" s="348">
        <v>1</v>
      </c>
      <c r="E174" s="348">
        <v>0</v>
      </c>
      <c r="F174" s="348">
        <v>0</v>
      </c>
      <c r="G174" s="348">
        <v>0</v>
      </c>
      <c r="H174" s="348">
        <v>0</v>
      </c>
      <c r="I174" s="348">
        <v>0</v>
      </c>
      <c r="J174" s="348">
        <v>0</v>
      </c>
      <c r="K174" s="348"/>
      <c r="L174" s="348" t="s">
        <v>131</v>
      </c>
      <c r="M174" s="348" t="s">
        <v>983</v>
      </c>
      <c r="N174" s="348" t="s">
        <v>975</v>
      </c>
      <c r="O174" s="348" t="s">
        <v>975</v>
      </c>
      <c r="P174" s="348" t="s">
        <v>546</v>
      </c>
      <c r="Q174" s="348" t="s">
        <v>547</v>
      </c>
      <c r="R174" s="348"/>
      <c r="S174" s="348" t="s">
        <v>1887</v>
      </c>
      <c r="T174" s="348" t="s">
        <v>1343</v>
      </c>
      <c r="U174" s="348" t="s">
        <v>40</v>
      </c>
      <c r="V174" s="348" t="s">
        <v>983</v>
      </c>
      <c r="W174" s="348" t="s">
        <v>41</v>
      </c>
      <c r="X174" s="348">
        <f t="shared" si="2"/>
        <v>5</v>
      </c>
    </row>
    <row r="175" spans="1:24" ht="206.25" customHeight="1" x14ac:dyDescent="0.2">
      <c r="A175" s="348" t="s">
        <v>548</v>
      </c>
      <c r="B175" s="348" t="s">
        <v>549</v>
      </c>
      <c r="C175" s="348">
        <v>0</v>
      </c>
      <c r="D175" s="348">
        <v>1</v>
      </c>
      <c r="E175" s="348">
        <v>0</v>
      </c>
      <c r="F175" s="348">
        <v>0</v>
      </c>
      <c r="G175" s="348">
        <v>0</v>
      </c>
      <c r="H175" s="348">
        <v>0</v>
      </c>
      <c r="I175" s="348">
        <v>0</v>
      </c>
      <c r="J175" s="348">
        <v>1</v>
      </c>
      <c r="K175" s="348"/>
      <c r="L175" s="348" t="s">
        <v>131</v>
      </c>
      <c r="M175" s="348" t="s">
        <v>983</v>
      </c>
      <c r="N175" s="348" t="s">
        <v>975</v>
      </c>
      <c r="O175" s="348" t="s">
        <v>975</v>
      </c>
      <c r="P175" s="348" t="s">
        <v>550</v>
      </c>
      <c r="Q175" s="348" t="s">
        <v>551</v>
      </c>
      <c r="R175" s="348"/>
      <c r="S175" s="348" t="s">
        <v>1396</v>
      </c>
      <c r="T175" s="348" t="s">
        <v>552</v>
      </c>
      <c r="U175" s="348" t="s">
        <v>40</v>
      </c>
      <c r="V175" s="348" t="s">
        <v>983</v>
      </c>
      <c r="W175" s="348" t="s">
        <v>41</v>
      </c>
      <c r="X175" s="348">
        <f t="shared" si="2"/>
        <v>5</v>
      </c>
    </row>
    <row r="176" spans="1:24" ht="127.5" customHeight="1" x14ac:dyDescent="0.2">
      <c r="A176" s="348" t="s">
        <v>553</v>
      </c>
      <c r="B176" s="348" t="s">
        <v>554</v>
      </c>
      <c r="C176" s="348">
        <v>0</v>
      </c>
      <c r="D176" s="348">
        <v>1</v>
      </c>
      <c r="E176" s="348">
        <v>0</v>
      </c>
      <c r="F176" s="348">
        <v>0</v>
      </c>
      <c r="G176" s="348">
        <v>0</v>
      </c>
      <c r="H176" s="348">
        <v>0</v>
      </c>
      <c r="I176" s="348">
        <v>0</v>
      </c>
      <c r="J176" s="348">
        <v>1</v>
      </c>
      <c r="K176" s="348"/>
      <c r="L176" s="348" t="s">
        <v>131</v>
      </c>
      <c r="M176" s="348" t="s">
        <v>983</v>
      </c>
      <c r="N176" s="348" t="s">
        <v>975</v>
      </c>
      <c r="O176" s="348" t="s">
        <v>975</v>
      </c>
      <c r="P176" s="348" t="s">
        <v>555</v>
      </c>
      <c r="Q176" s="348" t="s">
        <v>556</v>
      </c>
      <c r="R176" s="356" t="s">
        <v>1567</v>
      </c>
      <c r="S176" s="348" t="s">
        <v>1344</v>
      </c>
      <c r="T176" s="348" t="s">
        <v>557</v>
      </c>
      <c r="U176" s="348" t="s">
        <v>40</v>
      </c>
      <c r="V176" s="348" t="s">
        <v>983</v>
      </c>
      <c r="W176" s="348" t="s">
        <v>41</v>
      </c>
      <c r="X176" s="348">
        <f t="shared" si="2"/>
        <v>5</v>
      </c>
    </row>
    <row r="177" spans="1:24" ht="285" x14ac:dyDescent="0.2">
      <c r="A177" s="348" t="s">
        <v>558</v>
      </c>
      <c r="B177" s="348" t="s">
        <v>559</v>
      </c>
      <c r="C177" s="348">
        <v>0</v>
      </c>
      <c r="D177" s="348">
        <v>0</v>
      </c>
      <c r="E177" s="348">
        <v>0</v>
      </c>
      <c r="F177" s="348">
        <v>1</v>
      </c>
      <c r="G177" s="348">
        <v>0</v>
      </c>
      <c r="H177" s="348">
        <v>0</v>
      </c>
      <c r="I177" s="348">
        <v>0</v>
      </c>
      <c r="J177" s="348">
        <v>1</v>
      </c>
      <c r="K177" s="348"/>
      <c r="L177" s="348" t="s">
        <v>162</v>
      </c>
      <c r="M177" s="348" t="s">
        <v>983</v>
      </c>
      <c r="N177" s="348" t="s">
        <v>1246</v>
      </c>
      <c r="O177" s="348" t="s">
        <v>975</v>
      </c>
      <c r="P177" s="348" t="s">
        <v>560</v>
      </c>
      <c r="Q177" s="348" t="s">
        <v>561</v>
      </c>
      <c r="R177" s="348"/>
      <c r="S177" s="348" t="s">
        <v>1345</v>
      </c>
      <c r="T177" s="348" t="s">
        <v>1346</v>
      </c>
      <c r="U177" s="348" t="s">
        <v>40</v>
      </c>
      <c r="V177" s="348" t="s">
        <v>983</v>
      </c>
      <c r="W177" s="348" t="s">
        <v>75</v>
      </c>
      <c r="X177" s="348">
        <f t="shared" si="2"/>
        <v>10</v>
      </c>
    </row>
    <row r="178" spans="1:24" ht="221.25" customHeight="1" x14ac:dyDescent="0.2">
      <c r="A178" s="348" t="s">
        <v>562</v>
      </c>
      <c r="B178" s="348" t="s">
        <v>563</v>
      </c>
      <c r="C178" s="348">
        <v>0</v>
      </c>
      <c r="D178" s="348">
        <v>0</v>
      </c>
      <c r="E178" s="348">
        <v>0</v>
      </c>
      <c r="F178" s="348">
        <v>1</v>
      </c>
      <c r="G178" s="348">
        <v>0</v>
      </c>
      <c r="H178" s="348">
        <v>0</v>
      </c>
      <c r="I178" s="348">
        <v>0</v>
      </c>
      <c r="J178" s="348">
        <v>1</v>
      </c>
      <c r="K178" s="348"/>
      <c r="L178" s="348" t="s">
        <v>162</v>
      </c>
      <c r="M178" s="348" t="s">
        <v>983</v>
      </c>
      <c r="N178" s="348" t="s">
        <v>1246</v>
      </c>
      <c r="O178" s="348" t="s">
        <v>975</v>
      </c>
      <c r="P178" s="348" t="s">
        <v>564</v>
      </c>
      <c r="Q178" s="348" t="s">
        <v>565</v>
      </c>
      <c r="R178" s="348"/>
      <c r="S178" s="348" t="s">
        <v>1347</v>
      </c>
      <c r="T178" s="348" t="s">
        <v>1346</v>
      </c>
      <c r="U178" s="348" t="s">
        <v>40</v>
      </c>
      <c r="V178" s="348" t="s">
        <v>983</v>
      </c>
      <c r="W178" s="348" t="s">
        <v>41</v>
      </c>
      <c r="X178" s="348">
        <f t="shared" si="2"/>
        <v>5</v>
      </c>
    </row>
    <row r="179" spans="1:24" ht="171" x14ac:dyDescent="0.2">
      <c r="A179" s="348" t="s">
        <v>566</v>
      </c>
      <c r="B179" s="348" t="s">
        <v>567</v>
      </c>
      <c r="C179" s="348">
        <v>0</v>
      </c>
      <c r="D179" s="348">
        <v>0</v>
      </c>
      <c r="E179" s="348">
        <v>0</v>
      </c>
      <c r="F179" s="348">
        <v>1</v>
      </c>
      <c r="G179" s="348">
        <v>0</v>
      </c>
      <c r="H179" s="348">
        <v>0</v>
      </c>
      <c r="I179" s="348">
        <v>0</v>
      </c>
      <c r="J179" s="348">
        <v>1</v>
      </c>
      <c r="K179" s="348"/>
      <c r="L179" s="348" t="s">
        <v>162</v>
      </c>
      <c r="M179" s="348" t="s">
        <v>983</v>
      </c>
      <c r="N179" s="348" t="s">
        <v>1246</v>
      </c>
      <c r="O179" s="348" t="s">
        <v>975</v>
      </c>
      <c r="P179" s="348" t="s">
        <v>568</v>
      </c>
      <c r="Q179" s="348" t="s">
        <v>569</v>
      </c>
      <c r="R179" s="348"/>
      <c r="S179" s="348" t="s">
        <v>1348</v>
      </c>
      <c r="T179" s="348" t="s">
        <v>1349</v>
      </c>
      <c r="U179" s="348" t="s">
        <v>40</v>
      </c>
      <c r="V179" s="348" t="s">
        <v>983</v>
      </c>
      <c r="W179" s="348" t="s">
        <v>41</v>
      </c>
      <c r="X179" s="348">
        <f t="shared" si="2"/>
        <v>5</v>
      </c>
    </row>
    <row r="180" spans="1:24" ht="270.75" x14ac:dyDescent="0.2">
      <c r="A180" s="348" t="s">
        <v>570</v>
      </c>
      <c r="B180" s="348" t="s">
        <v>571</v>
      </c>
      <c r="C180" s="348">
        <v>0</v>
      </c>
      <c r="D180" s="348">
        <v>0</v>
      </c>
      <c r="E180" s="348">
        <v>0</v>
      </c>
      <c r="F180" s="348">
        <v>1</v>
      </c>
      <c r="G180" s="348">
        <v>0</v>
      </c>
      <c r="H180" s="348">
        <v>0</v>
      </c>
      <c r="I180" s="348">
        <v>0</v>
      </c>
      <c r="J180" s="348">
        <v>1</v>
      </c>
      <c r="K180" s="348"/>
      <c r="L180" s="348" t="s">
        <v>162</v>
      </c>
      <c r="M180" s="348" t="s">
        <v>975</v>
      </c>
      <c r="N180" s="348" t="s">
        <v>1246</v>
      </c>
      <c r="O180" s="348" t="s">
        <v>975</v>
      </c>
      <c r="P180" s="348" t="s">
        <v>1888</v>
      </c>
      <c r="Q180" s="348" t="s">
        <v>1184</v>
      </c>
      <c r="R180" s="348"/>
      <c r="S180" s="348" t="s">
        <v>1350</v>
      </c>
      <c r="T180" s="348" t="s">
        <v>1342</v>
      </c>
      <c r="U180" s="348" t="s">
        <v>40</v>
      </c>
      <c r="V180" s="348" t="s">
        <v>975</v>
      </c>
      <c r="W180" s="348" t="s">
        <v>41</v>
      </c>
      <c r="X180" s="348">
        <f t="shared" si="2"/>
        <v>5</v>
      </c>
    </row>
    <row r="181" spans="1:24" ht="224.25" customHeight="1" x14ac:dyDescent="0.2">
      <c r="A181" s="361" t="s">
        <v>572</v>
      </c>
      <c r="B181" s="361" t="s">
        <v>1013</v>
      </c>
      <c r="C181" s="348">
        <v>0</v>
      </c>
      <c r="D181" s="348">
        <v>0</v>
      </c>
      <c r="E181" s="348">
        <v>0</v>
      </c>
      <c r="F181" s="348">
        <v>1</v>
      </c>
      <c r="G181" s="348">
        <v>0</v>
      </c>
      <c r="H181" s="348">
        <v>0</v>
      </c>
      <c r="I181" s="348">
        <v>0</v>
      </c>
      <c r="J181" s="348">
        <v>0</v>
      </c>
      <c r="K181" s="348"/>
      <c r="L181" s="348" t="s">
        <v>162</v>
      </c>
      <c r="M181" s="348" t="s">
        <v>983</v>
      </c>
      <c r="N181" s="348" t="s">
        <v>1246</v>
      </c>
      <c r="O181" s="348" t="s">
        <v>975</v>
      </c>
      <c r="P181" s="348" t="s">
        <v>580</v>
      </c>
      <c r="Q181" s="348" t="s">
        <v>581</v>
      </c>
      <c r="R181" s="348"/>
      <c r="S181" s="348" t="s">
        <v>1351</v>
      </c>
      <c r="T181" s="348" t="s">
        <v>1352</v>
      </c>
      <c r="U181" s="348" t="s">
        <v>40</v>
      </c>
      <c r="V181" s="348" t="s">
        <v>983</v>
      </c>
      <c r="W181" s="348" t="s">
        <v>46</v>
      </c>
      <c r="X181" s="348">
        <f t="shared" si="2"/>
        <v>20</v>
      </c>
    </row>
    <row r="182" spans="1:24" ht="142.5" x14ac:dyDescent="0.2">
      <c r="A182" s="361" t="s">
        <v>575</v>
      </c>
      <c r="B182" s="361" t="s">
        <v>1014</v>
      </c>
      <c r="C182" s="348">
        <v>0</v>
      </c>
      <c r="D182" s="348">
        <v>0</v>
      </c>
      <c r="E182" s="348">
        <v>0</v>
      </c>
      <c r="F182" s="348">
        <v>1</v>
      </c>
      <c r="G182" s="348">
        <v>0</v>
      </c>
      <c r="H182" s="348">
        <v>0</v>
      </c>
      <c r="I182" s="348">
        <v>0</v>
      </c>
      <c r="J182" s="348">
        <v>1</v>
      </c>
      <c r="K182" s="348"/>
      <c r="L182" s="348" t="s">
        <v>162</v>
      </c>
      <c r="M182" s="348" t="s">
        <v>983</v>
      </c>
      <c r="N182" s="348" t="s">
        <v>1246</v>
      </c>
      <c r="O182" s="348" t="s">
        <v>975</v>
      </c>
      <c r="P182" s="348" t="s">
        <v>583</v>
      </c>
      <c r="Q182" s="348" t="s">
        <v>584</v>
      </c>
      <c r="R182" s="348"/>
      <c r="S182" s="348" t="s">
        <v>1353</v>
      </c>
      <c r="T182" s="348" t="s">
        <v>1354</v>
      </c>
      <c r="U182" s="348" t="s">
        <v>40</v>
      </c>
      <c r="V182" s="348" t="s">
        <v>983</v>
      </c>
      <c r="W182" s="348" t="s">
        <v>46</v>
      </c>
      <c r="X182" s="348">
        <f t="shared" si="2"/>
        <v>20</v>
      </c>
    </row>
    <row r="183" spans="1:24" ht="171" x14ac:dyDescent="0.2">
      <c r="A183" s="361" t="s">
        <v>579</v>
      </c>
      <c r="B183" s="361" t="s">
        <v>1015</v>
      </c>
      <c r="C183" s="348">
        <v>0</v>
      </c>
      <c r="D183" s="348">
        <v>0</v>
      </c>
      <c r="E183" s="348">
        <v>0</v>
      </c>
      <c r="F183" s="348">
        <v>1</v>
      </c>
      <c r="G183" s="348">
        <v>0</v>
      </c>
      <c r="H183" s="348">
        <v>0</v>
      </c>
      <c r="I183" s="348">
        <v>0</v>
      </c>
      <c r="J183" s="348">
        <v>1</v>
      </c>
      <c r="K183" s="348"/>
      <c r="L183" s="348" t="s">
        <v>162</v>
      </c>
      <c r="M183" s="348" t="s">
        <v>983</v>
      </c>
      <c r="N183" s="348" t="s">
        <v>1246</v>
      </c>
      <c r="O183" s="348" t="s">
        <v>975</v>
      </c>
      <c r="P183" s="348" t="s">
        <v>588</v>
      </c>
      <c r="Q183" s="348" t="s">
        <v>1115</v>
      </c>
      <c r="R183" s="348"/>
      <c r="S183" s="348" t="s">
        <v>1355</v>
      </c>
      <c r="T183" s="348" t="s">
        <v>589</v>
      </c>
      <c r="U183" s="348" t="s">
        <v>40</v>
      </c>
      <c r="V183" s="348" t="s">
        <v>983</v>
      </c>
      <c r="W183" s="348" t="s">
        <v>46</v>
      </c>
      <c r="X183" s="348">
        <f t="shared" si="2"/>
        <v>20</v>
      </c>
    </row>
    <row r="184" spans="1:24" ht="289.5" customHeight="1" x14ac:dyDescent="0.2">
      <c r="A184" s="348" t="s">
        <v>582</v>
      </c>
      <c r="B184" s="348" t="s">
        <v>576</v>
      </c>
      <c r="C184" s="348">
        <v>0</v>
      </c>
      <c r="D184" s="348">
        <v>0</v>
      </c>
      <c r="E184" s="348">
        <v>0</v>
      </c>
      <c r="F184" s="348">
        <v>1</v>
      </c>
      <c r="G184" s="348">
        <v>0</v>
      </c>
      <c r="H184" s="348">
        <v>0</v>
      </c>
      <c r="I184" s="348">
        <v>0</v>
      </c>
      <c r="J184" s="348">
        <v>1</v>
      </c>
      <c r="K184" s="348"/>
      <c r="L184" s="348" t="s">
        <v>162</v>
      </c>
      <c r="M184" s="348" t="s">
        <v>983</v>
      </c>
      <c r="N184" s="348" t="s">
        <v>1246</v>
      </c>
      <c r="O184" s="348" t="s">
        <v>975</v>
      </c>
      <c r="P184" s="348" t="s">
        <v>577</v>
      </c>
      <c r="Q184" s="348" t="s">
        <v>578</v>
      </c>
      <c r="R184" s="348"/>
      <c r="S184" s="348" t="s">
        <v>1356</v>
      </c>
      <c r="T184" s="348" t="s">
        <v>1116</v>
      </c>
      <c r="U184" s="348" t="s">
        <v>40</v>
      </c>
      <c r="V184" s="348" t="s">
        <v>983</v>
      </c>
      <c r="W184" s="348" t="s">
        <v>75</v>
      </c>
      <c r="X184" s="348">
        <f t="shared" si="2"/>
        <v>10</v>
      </c>
    </row>
    <row r="185" spans="1:24" ht="296.25" customHeight="1" x14ac:dyDescent="0.2">
      <c r="A185" s="348" t="s">
        <v>585</v>
      </c>
      <c r="B185" s="348" t="s">
        <v>1430</v>
      </c>
      <c r="C185" s="348">
        <v>0</v>
      </c>
      <c r="D185" s="348">
        <v>0</v>
      </c>
      <c r="E185" s="348">
        <v>0</v>
      </c>
      <c r="F185" s="348">
        <v>1</v>
      </c>
      <c r="G185" s="348">
        <v>0</v>
      </c>
      <c r="H185" s="348">
        <v>0</v>
      </c>
      <c r="I185" s="348">
        <v>0</v>
      </c>
      <c r="J185" s="348">
        <v>0</v>
      </c>
      <c r="K185" s="348"/>
      <c r="L185" s="348" t="s">
        <v>162</v>
      </c>
      <c r="M185" s="348" t="s">
        <v>983</v>
      </c>
      <c r="N185" s="348" t="s">
        <v>1246</v>
      </c>
      <c r="O185" s="348" t="s">
        <v>586</v>
      </c>
      <c r="P185" s="348" t="s">
        <v>586</v>
      </c>
      <c r="Q185" s="348" t="s">
        <v>586</v>
      </c>
      <c r="R185" s="348"/>
      <c r="S185" s="348" t="s">
        <v>1397</v>
      </c>
      <c r="T185" s="348" t="s">
        <v>1357</v>
      </c>
      <c r="U185" s="348" t="s">
        <v>40</v>
      </c>
      <c r="V185" s="348" t="s">
        <v>983</v>
      </c>
      <c r="W185" s="348" t="s">
        <v>75</v>
      </c>
      <c r="X185" s="348">
        <f t="shared" si="2"/>
        <v>10</v>
      </c>
    </row>
    <row r="186" spans="1:24" ht="300" customHeight="1" x14ac:dyDescent="0.2">
      <c r="A186" s="348" t="s">
        <v>587</v>
      </c>
      <c r="B186" s="348" t="s">
        <v>573</v>
      </c>
      <c r="C186" s="348">
        <v>0</v>
      </c>
      <c r="D186" s="348">
        <v>0</v>
      </c>
      <c r="E186" s="348">
        <v>0</v>
      </c>
      <c r="F186" s="348">
        <v>1</v>
      </c>
      <c r="G186" s="348">
        <v>0</v>
      </c>
      <c r="H186" s="348">
        <v>0</v>
      </c>
      <c r="I186" s="348">
        <v>0</v>
      </c>
      <c r="J186" s="348">
        <v>1</v>
      </c>
      <c r="K186" s="348"/>
      <c r="L186" s="348" t="s">
        <v>162</v>
      </c>
      <c r="M186" s="348" t="s">
        <v>983</v>
      </c>
      <c r="N186" s="348" t="s">
        <v>1246</v>
      </c>
      <c r="O186" s="348" t="s">
        <v>975</v>
      </c>
      <c r="P186" s="348" t="s">
        <v>574</v>
      </c>
      <c r="Q186" s="348" t="s">
        <v>1889</v>
      </c>
      <c r="R186" s="348"/>
      <c r="S186" s="348" t="s">
        <v>1358</v>
      </c>
      <c r="T186" s="348" t="s">
        <v>1117</v>
      </c>
      <c r="U186" s="348" t="s">
        <v>40</v>
      </c>
      <c r="V186" s="348" t="s">
        <v>983</v>
      </c>
      <c r="W186" s="348" t="s">
        <v>41</v>
      </c>
      <c r="X186" s="348">
        <f t="shared" si="2"/>
        <v>5</v>
      </c>
    </row>
    <row r="187" spans="1:24" ht="77.099999999999994" customHeight="1" x14ac:dyDescent="0.2">
      <c r="A187" s="361" t="s">
        <v>590</v>
      </c>
      <c r="B187" s="361" t="s">
        <v>1442</v>
      </c>
      <c r="C187" s="348">
        <v>0</v>
      </c>
      <c r="D187" s="348">
        <v>0</v>
      </c>
      <c r="E187" s="348">
        <v>0</v>
      </c>
      <c r="F187" s="348">
        <v>0</v>
      </c>
      <c r="G187" s="348">
        <v>0</v>
      </c>
      <c r="H187" s="348">
        <v>1</v>
      </c>
      <c r="I187" s="348">
        <v>0</v>
      </c>
      <c r="J187" s="348">
        <v>1</v>
      </c>
      <c r="K187" s="348"/>
      <c r="L187" s="348" t="s">
        <v>591</v>
      </c>
      <c r="M187" s="348" t="s">
        <v>983</v>
      </c>
      <c r="N187" s="348" t="s">
        <v>1359</v>
      </c>
      <c r="O187" s="348" t="s">
        <v>592</v>
      </c>
      <c r="P187" s="348" t="s">
        <v>592</v>
      </c>
      <c r="Q187" s="348" t="s">
        <v>592</v>
      </c>
      <c r="R187" s="348"/>
      <c r="S187" s="348" t="s">
        <v>593</v>
      </c>
      <c r="T187" s="348" t="s">
        <v>594</v>
      </c>
      <c r="U187" s="348" t="s">
        <v>40</v>
      </c>
      <c r="V187" s="348" t="s">
        <v>983</v>
      </c>
      <c r="W187" s="348" t="s">
        <v>46</v>
      </c>
      <c r="X187" s="348">
        <f t="shared" si="2"/>
        <v>20</v>
      </c>
    </row>
    <row r="188" spans="1:24" ht="77.099999999999994" customHeight="1" x14ac:dyDescent="0.2">
      <c r="A188" s="361" t="s">
        <v>595</v>
      </c>
      <c r="B188" s="361" t="s">
        <v>1463</v>
      </c>
      <c r="C188" s="348">
        <v>0</v>
      </c>
      <c r="D188" s="348">
        <v>0</v>
      </c>
      <c r="E188" s="348">
        <v>0</v>
      </c>
      <c r="F188" s="348">
        <v>0</v>
      </c>
      <c r="G188" s="348">
        <v>0</v>
      </c>
      <c r="H188" s="348">
        <v>1</v>
      </c>
      <c r="I188" s="348">
        <v>0</v>
      </c>
      <c r="J188" s="348">
        <v>1</v>
      </c>
      <c r="K188" s="348"/>
      <c r="L188" s="348" t="s">
        <v>591</v>
      </c>
      <c r="M188" s="348" t="s">
        <v>983</v>
      </c>
      <c r="N188" s="348" t="s">
        <v>1359</v>
      </c>
      <c r="O188" s="348" t="s">
        <v>592</v>
      </c>
      <c r="P188" s="348" t="s">
        <v>592</v>
      </c>
      <c r="Q188" s="348" t="s">
        <v>592</v>
      </c>
      <c r="R188" s="348"/>
      <c r="S188" s="348" t="s">
        <v>593</v>
      </c>
      <c r="T188" s="348" t="s">
        <v>594</v>
      </c>
      <c r="U188" s="348" t="s">
        <v>40</v>
      </c>
      <c r="V188" s="348" t="s">
        <v>983</v>
      </c>
      <c r="W188" s="348" t="s">
        <v>46</v>
      </c>
      <c r="X188" s="348">
        <f t="shared" si="2"/>
        <v>20</v>
      </c>
    </row>
    <row r="189" spans="1:24" ht="77.099999999999994" customHeight="1" x14ac:dyDescent="0.2">
      <c r="A189" s="361" t="s">
        <v>597</v>
      </c>
      <c r="B189" s="361" t="s">
        <v>1461</v>
      </c>
      <c r="C189" s="348">
        <v>0</v>
      </c>
      <c r="D189" s="348">
        <v>0</v>
      </c>
      <c r="E189" s="348">
        <v>0</v>
      </c>
      <c r="F189" s="348">
        <v>0</v>
      </c>
      <c r="G189" s="348">
        <v>0</v>
      </c>
      <c r="H189" s="348">
        <v>1</v>
      </c>
      <c r="I189" s="348">
        <v>0</v>
      </c>
      <c r="J189" s="348">
        <v>1</v>
      </c>
      <c r="K189" s="348"/>
      <c r="L189" s="348" t="s">
        <v>591</v>
      </c>
      <c r="M189" s="348" t="s">
        <v>983</v>
      </c>
      <c r="N189" s="348" t="s">
        <v>1359</v>
      </c>
      <c r="O189" s="348" t="s">
        <v>592</v>
      </c>
      <c r="P189" s="348" t="s">
        <v>592</v>
      </c>
      <c r="Q189" s="348" t="s">
        <v>592</v>
      </c>
      <c r="R189" s="348"/>
      <c r="S189" s="348" t="s">
        <v>593</v>
      </c>
      <c r="T189" s="348" t="s">
        <v>594</v>
      </c>
      <c r="U189" s="348" t="s">
        <v>40</v>
      </c>
      <c r="V189" s="348" t="s">
        <v>983</v>
      </c>
      <c r="W189" s="348" t="s">
        <v>46</v>
      </c>
      <c r="X189" s="348">
        <f t="shared" si="2"/>
        <v>20</v>
      </c>
    </row>
    <row r="190" spans="1:24" ht="77.099999999999994" customHeight="1" x14ac:dyDescent="0.2">
      <c r="A190" s="361" t="s">
        <v>599</v>
      </c>
      <c r="B190" s="361" t="s">
        <v>1431</v>
      </c>
      <c r="C190" s="348">
        <v>0</v>
      </c>
      <c r="D190" s="348">
        <v>0</v>
      </c>
      <c r="E190" s="348">
        <v>0</v>
      </c>
      <c r="F190" s="348">
        <v>0</v>
      </c>
      <c r="G190" s="348">
        <v>0</v>
      </c>
      <c r="H190" s="348">
        <v>1</v>
      </c>
      <c r="I190" s="348">
        <v>0</v>
      </c>
      <c r="J190" s="348">
        <v>1</v>
      </c>
      <c r="K190" s="348"/>
      <c r="L190" s="348" t="s">
        <v>591</v>
      </c>
      <c r="M190" s="348" t="s">
        <v>983</v>
      </c>
      <c r="N190" s="348" t="s">
        <v>1359</v>
      </c>
      <c r="O190" s="348" t="s">
        <v>592</v>
      </c>
      <c r="P190" s="348" t="s">
        <v>592</v>
      </c>
      <c r="Q190" s="348" t="s">
        <v>592</v>
      </c>
      <c r="R190" s="348"/>
      <c r="S190" s="348" t="s">
        <v>593</v>
      </c>
      <c r="T190" s="348" t="s">
        <v>594</v>
      </c>
      <c r="U190" s="348" t="s">
        <v>40</v>
      </c>
      <c r="V190" s="348" t="s">
        <v>983</v>
      </c>
      <c r="W190" s="348" t="s">
        <v>46</v>
      </c>
      <c r="X190" s="348">
        <f t="shared" si="2"/>
        <v>20</v>
      </c>
    </row>
    <row r="191" spans="1:24" ht="77.099999999999994" customHeight="1" x14ac:dyDescent="0.2">
      <c r="A191" s="348" t="s">
        <v>601</v>
      </c>
      <c r="B191" s="348" t="s">
        <v>596</v>
      </c>
      <c r="C191" s="348">
        <v>0</v>
      </c>
      <c r="D191" s="348">
        <v>0</v>
      </c>
      <c r="E191" s="348">
        <v>0</v>
      </c>
      <c r="F191" s="348">
        <v>0</v>
      </c>
      <c r="G191" s="348">
        <v>0</v>
      </c>
      <c r="H191" s="348">
        <v>1</v>
      </c>
      <c r="I191" s="348">
        <v>0</v>
      </c>
      <c r="J191" s="348">
        <v>1</v>
      </c>
      <c r="K191" s="348"/>
      <c r="L191" s="348" t="s">
        <v>591</v>
      </c>
      <c r="M191" s="348" t="s">
        <v>983</v>
      </c>
      <c r="N191" s="348" t="s">
        <v>1359</v>
      </c>
      <c r="O191" s="348" t="s">
        <v>592</v>
      </c>
      <c r="P191" s="348" t="s">
        <v>592</v>
      </c>
      <c r="Q191" s="348" t="s">
        <v>592</v>
      </c>
      <c r="R191" s="348"/>
      <c r="S191" s="348" t="s">
        <v>593</v>
      </c>
      <c r="T191" s="348" t="s">
        <v>594</v>
      </c>
      <c r="U191" s="348" t="s">
        <v>40</v>
      </c>
      <c r="V191" s="348" t="s">
        <v>983</v>
      </c>
      <c r="W191" s="348" t="s">
        <v>75</v>
      </c>
      <c r="X191" s="348">
        <f t="shared" si="2"/>
        <v>10</v>
      </c>
    </row>
    <row r="192" spans="1:24" ht="77.099999999999994" customHeight="1" x14ac:dyDescent="0.2">
      <c r="A192" s="348" t="s">
        <v>602</v>
      </c>
      <c r="B192" s="348" t="s">
        <v>598</v>
      </c>
      <c r="C192" s="348">
        <v>0</v>
      </c>
      <c r="D192" s="348">
        <v>0</v>
      </c>
      <c r="E192" s="348">
        <v>0</v>
      </c>
      <c r="F192" s="348">
        <v>0</v>
      </c>
      <c r="G192" s="348">
        <v>0</v>
      </c>
      <c r="H192" s="348">
        <v>1</v>
      </c>
      <c r="I192" s="348">
        <v>0</v>
      </c>
      <c r="J192" s="348">
        <v>1</v>
      </c>
      <c r="K192" s="348"/>
      <c r="L192" s="348" t="s">
        <v>591</v>
      </c>
      <c r="M192" s="348" t="s">
        <v>983</v>
      </c>
      <c r="N192" s="348" t="s">
        <v>1359</v>
      </c>
      <c r="O192" s="348" t="s">
        <v>592</v>
      </c>
      <c r="P192" s="348" t="s">
        <v>592</v>
      </c>
      <c r="Q192" s="348" t="s">
        <v>592</v>
      </c>
      <c r="R192" s="348"/>
      <c r="S192" s="348" t="s">
        <v>593</v>
      </c>
      <c r="T192" s="348" t="s">
        <v>594</v>
      </c>
      <c r="U192" s="348" t="s">
        <v>40</v>
      </c>
      <c r="V192" s="348" t="s">
        <v>983</v>
      </c>
      <c r="W192" s="348" t="s">
        <v>75</v>
      </c>
      <c r="X192" s="348">
        <f t="shared" si="2"/>
        <v>10</v>
      </c>
    </row>
    <row r="193" spans="1:24" ht="77.099999999999994" customHeight="1" x14ac:dyDescent="0.2">
      <c r="A193" s="348" t="s">
        <v>603</v>
      </c>
      <c r="B193" s="348" t="s">
        <v>600</v>
      </c>
      <c r="C193" s="348">
        <v>0</v>
      </c>
      <c r="D193" s="348">
        <v>0</v>
      </c>
      <c r="E193" s="348">
        <v>0</v>
      </c>
      <c r="F193" s="348">
        <v>0</v>
      </c>
      <c r="G193" s="348">
        <v>0</v>
      </c>
      <c r="H193" s="348">
        <v>1</v>
      </c>
      <c r="I193" s="348">
        <v>0</v>
      </c>
      <c r="J193" s="348">
        <v>1</v>
      </c>
      <c r="K193" s="348"/>
      <c r="L193" s="348" t="s">
        <v>591</v>
      </c>
      <c r="M193" s="348" t="s">
        <v>983</v>
      </c>
      <c r="N193" s="348" t="s">
        <v>1359</v>
      </c>
      <c r="O193" s="348" t="s">
        <v>592</v>
      </c>
      <c r="P193" s="348" t="s">
        <v>592</v>
      </c>
      <c r="Q193" s="348" t="s">
        <v>592</v>
      </c>
      <c r="R193" s="348"/>
      <c r="S193" s="348" t="s">
        <v>593</v>
      </c>
      <c r="T193" s="348" t="s">
        <v>594</v>
      </c>
      <c r="U193" s="348" t="s">
        <v>40</v>
      </c>
      <c r="V193" s="348" t="s">
        <v>983</v>
      </c>
      <c r="W193" s="348" t="s">
        <v>75</v>
      </c>
      <c r="X193" s="348">
        <f t="shared" si="2"/>
        <v>10</v>
      </c>
    </row>
    <row r="194" spans="1:24" ht="77.099999999999994" customHeight="1" x14ac:dyDescent="0.2">
      <c r="A194" s="348" t="s">
        <v>605</v>
      </c>
      <c r="B194" s="348" t="s">
        <v>1432</v>
      </c>
      <c r="C194" s="348">
        <v>0</v>
      </c>
      <c r="D194" s="348">
        <v>0</v>
      </c>
      <c r="E194" s="348">
        <v>0</v>
      </c>
      <c r="F194" s="348">
        <v>0</v>
      </c>
      <c r="G194" s="348">
        <v>0</v>
      </c>
      <c r="H194" s="348">
        <v>1</v>
      </c>
      <c r="I194" s="348">
        <v>0</v>
      </c>
      <c r="J194" s="348">
        <v>1</v>
      </c>
      <c r="K194" s="348"/>
      <c r="L194" s="348" t="s">
        <v>591</v>
      </c>
      <c r="M194" s="348" t="s">
        <v>983</v>
      </c>
      <c r="N194" s="348" t="s">
        <v>1359</v>
      </c>
      <c r="O194" s="348" t="s">
        <v>592</v>
      </c>
      <c r="P194" s="348" t="s">
        <v>592</v>
      </c>
      <c r="Q194" s="348" t="s">
        <v>592</v>
      </c>
      <c r="R194" s="348"/>
      <c r="S194" s="348" t="s">
        <v>593</v>
      </c>
      <c r="T194" s="348" t="s">
        <v>594</v>
      </c>
      <c r="U194" s="348" t="s">
        <v>40</v>
      </c>
      <c r="V194" s="348" t="s">
        <v>983</v>
      </c>
      <c r="W194" s="348" t="s">
        <v>75</v>
      </c>
      <c r="X194" s="348">
        <f t="shared" si="2"/>
        <v>10</v>
      </c>
    </row>
    <row r="195" spans="1:24" ht="77.099999999999994" customHeight="1" x14ac:dyDescent="0.2">
      <c r="A195" s="348" t="s">
        <v>607</v>
      </c>
      <c r="B195" s="348" t="s">
        <v>604</v>
      </c>
      <c r="C195" s="348">
        <v>0</v>
      </c>
      <c r="D195" s="348">
        <v>0</v>
      </c>
      <c r="E195" s="348">
        <v>0</v>
      </c>
      <c r="F195" s="348">
        <v>0</v>
      </c>
      <c r="G195" s="348">
        <v>0</v>
      </c>
      <c r="H195" s="348">
        <v>1</v>
      </c>
      <c r="I195" s="348">
        <v>0</v>
      </c>
      <c r="J195" s="348">
        <v>1</v>
      </c>
      <c r="K195" s="348"/>
      <c r="L195" s="348" t="s">
        <v>591</v>
      </c>
      <c r="M195" s="348" t="s">
        <v>983</v>
      </c>
      <c r="N195" s="348" t="s">
        <v>1359</v>
      </c>
      <c r="O195" s="348" t="s">
        <v>592</v>
      </c>
      <c r="P195" s="348" t="s">
        <v>592</v>
      </c>
      <c r="Q195" s="348" t="s">
        <v>592</v>
      </c>
      <c r="R195" s="348"/>
      <c r="S195" s="348" t="s">
        <v>593</v>
      </c>
      <c r="T195" s="348" t="s">
        <v>594</v>
      </c>
      <c r="U195" s="348" t="s">
        <v>40</v>
      </c>
      <c r="V195" s="348" t="s">
        <v>983</v>
      </c>
      <c r="W195" s="348" t="s">
        <v>75</v>
      </c>
      <c r="X195" s="348">
        <f t="shared" si="2"/>
        <v>10</v>
      </c>
    </row>
    <row r="196" spans="1:24" ht="77.099999999999994" customHeight="1" x14ac:dyDescent="0.2">
      <c r="A196" s="348" t="s">
        <v>609</v>
      </c>
      <c r="B196" s="348" t="s">
        <v>606</v>
      </c>
      <c r="C196" s="348">
        <v>0</v>
      </c>
      <c r="D196" s="348">
        <v>0</v>
      </c>
      <c r="E196" s="348">
        <v>0</v>
      </c>
      <c r="F196" s="348">
        <v>0</v>
      </c>
      <c r="G196" s="348">
        <v>0</v>
      </c>
      <c r="H196" s="348">
        <v>1</v>
      </c>
      <c r="I196" s="348">
        <v>0</v>
      </c>
      <c r="J196" s="348">
        <v>1</v>
      </c>
      <c r="K196" s="348"/>
      <c r="L196" s="348" t="s">
        <v>591</v>
      </c>
      <c r="M196" s="348" t="s">
        <v>983</v>
      </c>
      <c r="N196" s="348" t="s">
        <v>1359</v>
      </c>
      <c r="O196" s="348" t="s">
        <v>592</v>
      </c>
      <c r="P196" s="348" t="s">
        <v>592</v>
      </c>
      <c r="Q196" s="348" t="s">
        <v>592</v>
      </c>
      <c r="R196" s="348"/>
      <c r="S196" s="348" t="s">
        <v>593</v>
      </c>
      <c r="T196" s="348" t="s">
        <v>594</v>
      </c>
      <c r="U196" s="348" t="s">
        <v>40</v>
      </c>
      <c r="V196" s="348" t="s">
        <v>983</v>
      </c>
      <c r="W196" s="348" t="s">
        <v>75</v>
      </c>
      <c r="X196" s="348">
        <f t="shared" si="2"/>
        <v>10</v>
      </c>
    </row>
    <row r="197" spans="1:24" ht="77.099999999999994" customHeight="1" x14ac:dyDescent="0.2">
      <c r="A197" s="348" t="s">
        <v>611</v>
      </c>
      <c r="B197" s="348" t="s">
        <v>608</v>
      </c>
      <c r="C197" s="348">
        <v>0</v>
      </c>
      <c r="D197" s="348">
        <v>0</v>
      </c>
      <c r="E197" s="348">
        <v>0</v>
      </c>
      <c r="F197" s="348">
        <v>0</v>
      </c>
      <c r="G197" s="348">
        <v>0</v>
      </c>
      <c r="H197" s="348">
        <v>1</v>
      </c>
      <c r="I197" s="348">
        <v>0</v>
      </c>
      <c r="J197" s="348">
        <v>1</v>
      </c>
      <c r="K197" s="348"/>
      <c r="L197" s="348" t="s">
        <v>591</v>
      </c>
      <c r="M197" s="348" t="s">
        <v>983</v>
      </c>
      <c r="N197" s="348" t="s">
        <v>1359</v>
      </c>
      <c r="O197" s="348" t="s">
        <v>592</v>
      </c>
      <c r="P197" s="348" t="s">
        <v>592</v>
      </c>
      <c r="Q197" s="348" t="s">
        <v>592</v>
      </c>
      <c r="R197" s="348"/>
      <c r="S197" s="348" t="s">
        <v>593</v>
      </c>
      <c r="T197" s="348" t="s">
        <v>594</v>
      </c>
      <c r="U197" s="348" t="s">
        <v>40</v>
      </c>
      <c r="V197" s="348" t="s">
        <v>983</v>
      </c>
      <c r="W197" s="348" t="s">
        <v>75</v>
      </c>
      <c r="X197" s="348">
        <f t="shared" si="2"/>
        <v>10</v>
      </c>
    </row>
    <row r="198" spans="1:24" ht="77.099999999999994" customHeight="1" x14ac:dyDescent="0.2">
      <c r="A198" s="348" t="s">
        <v>613</v>
      </c>
      <c r="B198" s="348" t="s">
        <v>610</v>
      </c>
      <c r="C198" s="348">
        <v>0</v>
      </c>
      <c r="D198" s="348">
        <v>0</v>
      </c>
      <c r="E198" s="348">
        <v>0</v>
      </c>
      <c r="F198" s="348">
        <v>0</v>
      </c>
      <c r="G198" s="348">
        <v>0</v>
      </c>
      <c r="H198" s="348">
        <v>1</v>
      </c>
      <c r="I198" s="348">
        <v>0</v>
      </c>
      <c r="J198" s="348">
        <v>1</v>
      </c>
      <c r="K198" s="348"/>
      <c r="L198" s="348" t="s">
        <v>591</v>
      </c>
      <c r="M198" s="348" t="s">
        <v>983</v>
      </c>
      <c r="N198" s="348" t="s">
        <v>1359</v>
      </c>
      <c r="O198" s="348" t="s">
        <v>592</v>
      </c>
      <c r="P198" s="348" t="s">
        <v>592</v>
      </c>
      <c r="Q198" s="348" t="s">
        <v>592</v>
      </c>
      <c r="R198" s="348"/>
      <c r="S198" s="348" t="s">
        <v>593</v>
      </c>
      <c r="T198" s="348" t="s">
        <v>594</v>
      </c>
      <c r="U198" s="348" t="s">
        <v>40</v>
      </c>
      <c r="V198" s="348" t="s">
        <v>983</v>
      </c>
      <c r="W198" s="348" t="s">
        <v>75</v>
      </c>
      <c r="X198" s="348">
        <f t="shared" si="2"/>
        <v>10</v>
      </c>
    </row>
    <row r="199" spans="1:24" ht="77.099999999999994" customHeight="1" x14ac:dyDescent="0.2">
      <c r="A199" s="348" t="s">
        <v>615</v>
      </c>
      <c r="B199" s="348" t="s">
        <v>612</v>
      </c>
      <c r="C199" s="348">
        <v>0</v>
      </c>
      <c r="D199" s="348">
        <v>0</v>
      </c>
      <c r="E199" s="348">
        <v>0</v>
      </c>
      <c r="F199" s="348">
        <v>0</v>
      </c>
      <c r="G199" s="348">
        <v>0</v>
      </c>
      <c r="H199" s="348">
        <v>1</v>
      </c>
      <c r="I199" s="348">
        <v>0</v>
      </c>
      <c r="J199" s="348">
        <v>1</v>
      </c>
      <c r="K199" s="348"/>
      <c r="L199" s="348" t="s">
        <v>591</v>
      </c>
      <c r="M199" s="348" t="s">
        <v>983</v>
      </c>
      <c r="N199" s="348" t="s">
        <v>1359</v>
      </c>
      <c r="O199" s="348" t="s">
        <v>592</v>
      </c>
      <c r="P199" s="348" t="s">
        <v>592</v>
      </c>
      <c r="Q199" s="348" t="s">
        <v>592</v>
      </c>
      <c r="R199" s="348"/>
      <c r="S199" s="348" t="s">
        <v>593</v>
      </c>
      <c r="T199" s="348" t="s">
        <v>594</v>
      </c>
      <c r="U199" s="348" t="s">
        <v>40</v>
      </c>
      <c r="V199" s="348" t="s">
        <v>983</v>
      </c>
      <c r="W199" s="348" t="s">
        <v>75</v>
      </c>
      <c r="X199" s="348">
        <f t="shared" si="2"/>
        <v>10</v>
      </c>
    </row>
    <row r="200" spans="1:24" ht="77.099999999999994" customHeight="1" x14ac:dyDescent="0.2">
      <c r="A200" s="348" t="s">
        <v>617</v>
      </c>
      <c r="B200" s="348" t="s">
        <v>614</v>
      </c>
      <c r="C200" s="348">
        <v>0</v>
      </c>
      <c r="D200" s="348">
        <v>0</v>
      </c>
      <c r="E200" s="348">
        <v>0</v>
      </c>
      <c r="F200" s="348">
        <v>0</v>
      </c>
      <c r="G200" s="348">
        <v>0</v>
      </c>
      <c r="H200" s="348">
        <v>1</v>
      </c>
      <c r="I200" s="348">
        <v>0</v>
      </c>
      <c r="J200" s="348">
        <v>1</v>
      </c>
      <c r="K200" s="348"/>
      <c r="L200" s="348" t="s">
        <v>591</v>
      </c>
      <c r="M200" s="348" t="s">
        <v>983</v>
      </c>
      <c r="N200" s="348" t="s">
        <v>1359</v>
      </c>
      <c r="O200" s="348" t="s">
        <v>592</v>
      </c>
      <c r="P200" s="348" t="s">
        <v>592</v>
      </c>
      <c r="Q200" s="348" t="s">
        <v>592</v>
      </c>
      <c r="R200" s="348"/>
      <c r="S200" s="348" t="s">
        <v>593</v>
      </c>
      <c r="T200" s="348" t="s">
        <v>594</v>
      </c>
      <c r="U200" s="348" t="s">
        <v>148</v>
      </c>
      <c r="V200" s="348" t="s">
        <v>983</v>
      </c>
      <c r="W200" s="348" t="s">
        <v>75</v>
      </c>
      <c r="X200" s="348">
        <f t="shared" si="2"/>
        <v>10</v>
      </c>
    </row>
    <row r="201" spans="1:24" ht="77.099999999999994" customHeight="1" x14ac:dyDescent="0.2">
      <c r="A201" s="348" t="s">
        <v>619</v>
      </c>
      <c r="B201" s="348" t="s">
        <v>616</v>
      </c>
      <c r="C201" s="348">
        <v>0</v>
      </c>
      <c r="D201" s="348">
        <v>0</v>
      </c>
      <c r="E201" s="348">
        <v>0</v>
      </c>
      <c r="F201" s="348">
        <v>0</v>
      </c>
      <c r="G201" s="348">
        <v>0</v>
      </c>
      <c r="H201" s="348">
        <v>1</v>
      </c>
      <c r="I201" s="348">
        <v>0</v>
      </c>
      <c r="J201" s="348">
        <v>1</v>
      </c>
      <c r="K201" s="348"/>
      <c r="L201" s="348" t="s">
        <v>591</v>
      </c>
      <c r="M201" s="348" t="s">
        <v>983</v>
      </c>
      <c r="N201" s="348" t="s">
        <v>1359</v>
      </c>
      <c r="O201" s="348" t="s">
        <v>592</v>
      </c>
      <c r="P201" s="348" t="s">
        <v>592</v>
      </c>
      <c r="Q201" s="348" t="s">
        <v>592</v>
      </c>
      <c r="R201" s="348"/>
      <c r="S201" s="348" t="s">
        <v>593</v>
      </c>
      <c r="T201" s="348" t="s">
        <v>594</v>
      </c>
      <c r="U201" s="348" t="s">
        <v>40</v>
      </c>
      <c r="V201" s="348" t="s">
        <v>983</v>
      </c>
      <c r="W201" s="348" t="s">
        <v>75</v>
      </c>
      <c r="X201" s="348">
        <f t="shared" si="2"/>
        <v>10</v>
      </c>
    </row>
    <row r="202" spans="1:24" ht="77.099999999999994" customHeight="1" x14ac:dyDescent="0.2">
      <c r="A202" s="348" t="s">
        <v>621</v>
      </c>
      <c r="B202" s="348" t="s">
        <v>618</v>
      </c>
      <c r="C202" s="348">
        <v>0</v>
      </c>
      <c r="D202" s="348">
        <v>0</v>
      </c>
      <c r="E202" s="348">
        <v>0</v>
      </c>
      <c r="F202" s="348">
        <v>0</v>
      </c>
      <c r="G202" s="348">
        <v>0</v>
      </c>
      <c r="H202" s="348">
        <v>1</v>
      </c>
      <c r="I202" s="348">
        <v>0</v>
      </c>
      <c r="J202" s="348">
        <v>1</v>
      </c>
      <c r="K202" s="348"/>
      <c r="L202" s="348" t="s">
        <v>591</v>
      </c>
      <c r="M202" s="348" t="s">
        <v>983</v>
      </c>
      <c r="N202" s="348" t="s">
        <v>1359</v>
      </c>
      <c r="O202" s="348" t="s">
        <v>592</v>
      </c>
      <c r="P202" s="348" t="s">
        <v>592</v>
      </c>
      <c r="Q202" s="348" t="s">
        <v>592</v>
      </c>
      <c r="R202" s="348"/>
      <c r="S202" s="348" t="s">
        <v>593</v>
      </c>
      <c r="T202" s="348" t="s">
        <v>594</v>
      </c>
      <c r="U202" s="348" t="s">
        <v>40</v>
      </c>
      <c r="V202" s="348" t="s">
        <v>983</v>
      </c>
      <c r="W202" s="348" t="s">
        <v>75</v>
      </c>
      <c r="X202" s="348">
        <f t="shared" si="2"/>
        <v>10</v>
      </c>
    </row>
    <row r="203" spans="1:24" ht="77.099999999999994" customHeight="1" x14ac:dyDescent="0.2">
      <c r="A203" s="348" t="s">
        <v>623</v>
      </c>
      <c r="B203" s="348" t="s">
        <v>620</v>
      </c>
      <c r="C203" s="348">
        <v>0</v>
      </c>
      <c r="D203" s="348">
        <v>0</v>
      </c>
      <c r="E203" s="348">
        <v>0</v>
      </c>
      <c r="F203" s="348">
        <v>0</v>
      </c>
      <c r="G203" s="348">
        <v>0</v>
      </c>
      <c r="H203" s="348">
        <v>1</v>
      </c>
      <c r="I203" s="348">
        <v>0</v>
      </c>
      <c r="J203" s="348">
        <v>1</v>
      </c>
      <c r="K203" s="348"/>
      <c r="L203" s="348" t="s">
        <v>591</v>
      </c>
      <c r="M203" s="348" t="s">
        <v>983</v>
      </c>
      <c r="N203" s="348" t="s">
        <v>1359</v>
      </c>
      <c r="O203" s="348" t="s">
        <v>592</v>
      </c>
      <c r="P203" s="348" t="s">
        <v>592</v>
      </c>
      <c r="Q203" s="348" t="s">
        <v>592</v>
      </c>
      <c r="R203" s="348"/>
      <c r="S203" s="348" t="s">
        <v>593</v>
      </c>
      <c r="T203" s="348" t="s">
        <v>594</v>
      </c>
      <c r="U203" s="348" t="s">
        <v>40</v>
      </c>
      <c r="V203" s="348" t="s">
        <v>983</v>
      </c>
      <c r="W203" s="348" t="s">
        <v>75</v>
      </c>
      <c r="X203" s="348">
        <f t="shared" si="2"/>
        <v>10</v>
      </c>
    </row>
    <row r="204" spans="1:24" ht="77.099999999999994" customHeight="1" x14ac:dyDescent="0.2">
      <c r="A204" s="348" t="s">
        <v>625</v>
      </c>
      <c r="B204" s="348" t="s">
        <v>622</v>
      </c>
      <c r="C204" s="348">
        <v>0</v>
      </c>
      <c r="D204" s="348">
        <v>0</v>
      </c>
      <c r="E204" s="348">
        <v>0</v>
      </c>
      <c r="F204" s="348">
        <v>0</v>
      </c>
      <c r="G204" s="348">
        <v>0</v>
      </c>
      <c r="H204" s="348">
        <v>1</v>
      </c>
      <c r="I204" s="348">
        <v>0</v>
      </c>
      <c r="J204" s="348">
        <v>1</v>
      </c>
      <c r="K204" s="348"/>
      <c r="L204" s="348" t="s">
        <v>591</v>
      </c>
      <c r="M204" s="348" t="s">
        <v>983</v>
      </c>
      <c r="N204" s="348" t="s">
        <v>1359</v>
      </c>
      <c r="O204" s="348" t="s">
        <v>592</v>
      </c>
      <c r="P204" s="348" t="s">
        <v>592</v>
      </c>
      <c r="Q204" s="348" t="s">
        <v>592</v>
      </c>
      <c r="R204" s="348"/>
      <c r="S204" s="348" t="s">
        <v>593</v>
      </c>
      <c r="T204" s="348" t="s">
        <v>594</v>
      </c>
      <c r="U204" s="348" t="s">
        <v>148</v>
      </c>
      <c r="V204" s="348" t="s">
        <v>983</v>
      </c>
      <c r="W204" s="348" t="s">
        <v>75</v>
      </c>
      <c r="X204" s="348">
        <f t="shared" ref="X204:X237" si="3">IF($W204="Critical Importance",20,IF($W204="Minor Importance",5,10))</f>
        <v>10</v>
      </c>
    </row>
    <row r="205" spans="1:24" ht="77.099999999999994" customHeight="1" x14ac:dyDescent="0.2">
      <c r="A205" s="348" t="s">
        <v>626</v>
      </c>
      <c r="B205" s="348" t="s">
        <v>624</v>
      </c>
      <c r="C205" s="348">
        <v>0</v>
      </c>
      <c r="D205" s="348">
        <v>0</v>
      </c>
      <c r="E205" s="348">
        <v>0</v>
      </c>
      <c r="F205" s="348">
        <v>0</v>
      </c>
      <c r="G205" s="348">
        <v>0</v>
      </c>
      <c r="H205" s="348">
        <v>1</v>
      </c>
      <c r="I205" s="348">
        <v>0</v>
      </c>
      <c r="J205" s="348">
        <v>1</v>
      </c>
      <c r="K205" s="348"/>
      <c r="L205" s="348" t="s">
        <v>591</v>
      </c>
      <c r="M205" s="348" t="s">
        <v>983</v>
      </c>
      <c r="N205" s="348" t="s">
        <v>1359</v>
      </c>
      <c r="O205" s="348" t="s">
        <v>592</v>
      </c>
      <c r="P205" s="348" t="s">
        <v>592</v>
      </c>
      <c r="Q205" s="348" t="s">
        <v>592</v>
      </c>
      <c r="R205" s="348"/>
      <c r="S205" s="348" t="s">
        <v>593</v>
      </c>
      <c r="T205" s="348" t="s">
        <v>594</v>
      </c>
      <c r="U205" s="348" t="s">
        <v>40</v>
      </c>
      <c r="V205" s="348" t="s">
        <v>983</v>
      </c>
      <c r="W205" s="348" t="s">
        <v>75</v>
      </c>
      <c r="X205" s="348">
        <f t="shared" si="3"/>
        <v>10</v>
      </c>
    </row>
    <row r="206" spans="1:24" ht="77.099999999999994" customHeight="1" x14ac:dyDescent="0.2">
      <c r="A206" s="348" t="s">
        <v>628</v>
      </c>
      <c r="B206" s="348" t="s">
        <v>1360</v>
      </c>
      <c r="C206" s="348">
        <v>0</v>
      </c>
      <c r="D206" s="348">
        <v>0</v>
      </c>
      <c r="E206" s="348">
        <v>0</v>
      </c>
      <c r="F206" s="348">
        <v>0</v>
      </c>
      <c r="G206" s="348">
        <v>0</v>
      </c>
      <c r="H206" s="348">
        <v>1</v>
      </c>
      <c r="I206" s="348">
        <v>0</v>
      </c>
      <c r="J206" s="348">
        <v>1</v>
      </c>
      <c r="K206" s="348"/>
      <c r="L206" s="348" t="s">
        <v>591</v>
      </c>
      <c r="M206" s="348" t="s">
        <v>983</v>
      </c>
      <c r="N206" s="348" t="s">
        <v>1359</v>
      </c>
      <c r="O206" s="348" t="s">
        <v>592</v>
      </c>
      <c r="P206" s="348" t="s">
        <v>592</v>
      </c>
      <c r="Q206" s="348" t="s">
        <v>592</v>
      </c>
      <c r="R206" s="348"/>
      <c r="S206" s="348" t="s">
        <v>593</v>
      </c>
      <c r="T206" s="348" t="s">
        <v>594</v>
      </c>
      <c r="U206" s="348" t="s">
        <v>40</v>
      </c>
      <c r="V206" s="348" t="s">
        <v>983</v>
      </c>
      <c r="W206" s="348" t="s">
        <v>75</v>
      </c>
      <c r="X206" s="348">
        <f t="shared" si="3"/>
        <v>10</v>
      </c>
    </row>
    <row r="207" spans="1:24" ht="77.099999999999994" customHeight="1" x14ac:dyDescent="0.2">
      <c r="A207" s="348" t="s">
        <v>629</v>
      </c>
      <c r="B207" s="348" t="s">
        <v>627</v>
      </c>
      <c r="C207" s="348">
        <v>0</v>
      </c>
      <c r="D207" s="348">
        <v>0</v>
      </c>
      <c r="E207" s="348">
        <v>0</v>
      </c>
      <c r="F207" s="348">
        <v>0</v>
      </c>
      <c r="G207" s="348">
        <v>0</v>
      </c>
      <c r="H207" s="348">
        <v>1</v>
      </c>
      <c r="I207" s="348">
        <v>0</v>
      </c>
      <c r="J207" s="348">
        <v>1</v>
      </c>
      <c r="K207" s="348"/>
      <c r="L207" s="348" t="s">
        <v>591</v>
      </c>
      <c r="M207" s="348" t="s">
        <v>983</v>
      </c>
      <c r="N207" s="348" t="s">
        <v>1359</v>
      </c>
      <c r="O207" s="348" t="s">
        <v>592</v>
      </c>
      <c r="P207" s="348" t="s">
        <v>592</v>
      </c>
      <c r="Q207" s="348" t="s">
        <v>592</v>
      </c>
      <c r="R207" s="348"/>
      <c r="S207" s="348" t="s">
        <v>593</v>
      </c>
      <c r="T207" s="348" t="s">
        <v>594</v>
      </c>
      <c r="U207" s="348" t="s">
        <v>40</v>
      </c>
      <c r="V207" s="348" t="s">
        <v>983</v>
      </c>
      <c r="W207" s="348" t="s">
        <v>75</v>
      </c>
      <c r="X207" s="348">
        <f t="shared" si="3"/>
        <v>10</v>
      </c>
    </row>
    <row r="208" spans="1:24" ht="77.099999999999994" customHeight="1" x14ac:dyDescent="0.2">
      <c r="A208" s="348" t="s">
        <v>630</v>
      </c>
      <c r="B208" s="348" t="s">
        <v>1118</v>
      </c>
      <c r="C208" s="348">
        <v>0</v>
      </c>
      <c r="D208" s="348">
        <v>0</v>
      </c>
      <c r="E208" s="348">
        <v>0</v>
      </c>
      <c r="F208" s="348">
        <v>0</v>
      </c>
      <c r="G208" s="348">
        <v>0</v>
      </c>
      <c r="H208" s="348">
        <v>1</v>
      </c>
      <c r="I208" s="348">
        <v>0</v>
      </c>
      <c r="J208" s="348">
        <v>1</v>
      </c>
      <c r="K208" s="348"/>
      <c r="L208" s="348" t="s">
        <v>591</v>
      </c>
      <c r="M208" s="348" t="s">
        <v>983</v>
      </c>
      <c r="N208" s="348" t="s">
        <v>1359</v>
      </c>
      <c r="O208" s="348" t="s">
        <v>592</v>
      </c>
      <c r="P208" s="348" t="s">
        <v>592</v>
      </c>
      <c r="Q208" s="348" t="s">
        <v>592</v>
      </c>
      <c r="R208" s="348"/>
      <c r="S208" s="348" t="s">
        <v>593</v>
      </c>
      <c r="T208" s="348" t="s">
        <v>594</v>
      </c>
      <c r="U208" s="348" t="s">
        <v>40</v>
      </c>
      <c r="V208" s="348" t="s">
        <v>983</v>
      </c>
      <c r="W208" s="348" t="s">
        <v>75</v>
      </c>
      <c r="X208" s="348">
        <f t="shared" si="3"/>
        <v>10</v>
      </c>
    </row>
    <row r="209" spans="1:24" ht="77.099999999999994" customHeight="1" x14ac:dyDescent="0.2">
      <c r="A209" s="348" t="s">
        <v>632</v>
      </c>
      <c r="B209" s="348" t="s">
        <v>1529</v>
      </c>
      <c r="C209" s="348">
        <v>0</v>
      </c>
      <c r="D209" s="348">
        <v>0</v>
      </c>
      <c r="E209" s="348">
        <v>0</v>
      </c>
      <c r="F209" s="348">
        <v>0</v>
      </c>
      <c r="G209" s="348">
        <v>0</v>
      </c>
      <c r="H209" s="348">
        <v>1</v>
      </c>
      <c r="I209" s="348">
        <v>0</v>
      </c>
      <c r="J209" s="348">
        <v>1</v>
      </c>
      <c r="K209" s="348"/>
      <c r="L209" s="348" t="s">
        <v>591</v>
      </c>
      <c r="M209" s="348" t="s">
        <v>983</v>
      </c>
      <c r="N209" s="348" t="s">
        <v>1359</v>
      </c>
      <c r="O209" s="348" t="s">
        <v>592</v>
      </c>
      <c r="P209" s="348" t="s">
        <v>1531</v>
      </c>
      <c r="Q209" s="348" t="s">
        <v>1531</v>
      </c>
      <c r="R209" s="348"/>
      <c r="S209" s="348" t="s">
        <v>593</v>
      </c>
      <c r="T209" s="348" t="s">
        <v>594</v>
      </c>
      <c r="U209" s="348" t="s">
        <v>40</v>
      </c>
      <c r="V209" s="348" t="s">
        <v>983</v>
      </c>
      <c r="W209" s="348" t="s">
        <v>75</v>
      </c>
      <c r="X209" s="348">
        <f t="shared" si="3"/>
        <v>10</v>
      </c>
    </row>
    <row r="210" spans="1:24" ht="77.099999999999994" customHeight="1" x14ac:dyDescent="0.2">
      <c r="A210" s="348" t="s">
        <v>634</v>
      </c>
      <c r="B210" s="348" t="s">
        <v>631</v>
      </c>
      <c r="C210" s="348">
        <v>0</v>
      </c>
      <c r="D210" s="348">
        <v>0</v>
      </c>
      <c r="E210" s="348">
        <v>0</v>
      </c>
      <c r="F210" s="348">
        <v>0</v>
      </c>
      <c r="G210" s="348">
        <v>0</v>
      </c>
      <c r="H210" s="348">
        <v>1</v>
      </c>
      <c r="I210" s="348">
        <v>0</v>
      </c>
      <c r="J210" s="348">
        <v>1</v>
      </c>
      <c r="K210" s="348"/>
      <c r="L210" s="348" t="s">
        <v>591</v>
      </c>
      <c r="M210" s="348" t="s">
        <v>983</v>
      </c>
      <c r="N210" s="348" t="s">
        <v>1359</v>
      </c>
      <c r="O210" s="348" t="s">
        <v>592</v>
      </c>
      <c r="P210" s="348" t="s">
        <v>592</v>
      </c>
      <c r="Q210" s="348" t="s">
        <v>592</v>
      </c>
      <c r="R210" s="348"/>
      <c r="S210" s="348" t="s">
        <v>593</v>
      </c>
      <c r="T210" s="348" t="s">
        <v>594</v>
      </c>
      <c r="U210" s="348" t="s">
        <v>40</v>
      </c>
      <c r="V210" s="348" t="s">
        <v>983</v>
      </c>
      <c r="W210" s="348" t="s">
        <v>75</v>
      </c>
      <c r="X210" s="348">
        <f t="shared" si="3"/>
        <v>10</v>
      </c>
    </row>
    <row r="211" spans="1:24" ht="77.099999999999994" customHeight="1" x14ac:dyDescent="0.2">
      <c r="A211" s="348" t="s">
        <v>636</v>
      </c>
      <c r="B211" s="348" t="s">
        <v>633</v>
      </c>
      <c r="C211" s="348">
        <v>0</v>
      </c>
      <c r="D211" s="348">
        <v>0</v>
      </c>
      <c r="E211" s="348">
        <v>0</v>
      </c>
      <c r="F211" s="348">
        <v>0</v>
      </c>
      <c r="G211" s="348">
        <v>0</v>
      </c>
      <c r="H211" s="348">
        <v>1</v>
      </c>
      <c r="I211" s="348">
        <v>0</v>
      </c>
      <c r="J211" s="348">
        <v>1</v>
      </c>
      <c r="K211" s="348"/>
      <c r="L211" s="348" t="s">
        <v>591</v>
      </c>
      <c r="M211" s="348" t="s">
        <v>983</v>
      </c>
      <c r="N211" s="348" t="s">
        <v>1359</v>
      </c>
      <c r="O211" s="348" t="s">
        <v>592</v>
      </c>
      <c r="P211" s="348" t="s">
        <v>592</v>
      </c>
      <c r="Q211" s="348" t="s">
        <v>592</v>
      </c>
      <c r="R211" s="348"/>
      <c r="S211" s="348" t="s">
        <v>593</v>
      </c>
      <c r="T211" s="348" t="s">
        <v>594</v>
      </c>
      <c r="U211" s="348" t="s">
        <v>40</v>
      </c>
      <c r="V211" s="348" t="s">
        <v>983</v>
      </c>
      <c r="W211" s="348" t="s">
        <v>75</v>
      </c>
      <c r="X211" s="348">
        <f t="shared" si="3"/>
        <v>10</v>
      </c>
    </row>
    <row r="212" spans="1:24" ht="77.099999999999994" customHeight="1" x14ac:dyDescent="0.2">
      <c r="A212" s="348" t="s">
        <v>638</v>
      </c>
      <c r="B212" s="348" t="s">
        <v>637</v>
      </c>
      <c r="C212" s="348">
        <v>0</v>
      </c>
      <c r="D212" s="348">
        <v>0</v>
      </c>
      <c r="E212" s="348">
        <v>0</v>
      </c>
      <c r="F212" s="348">
        <v>0</v>
      </c>
      <c r="G212" s="348">
        <v>0</v>
      </c>
      <c r="H212" s="348">
        <v>1</v>
      </c>
      <c r="I212" s="348">
        <v>0</v>
      </c>
      <c r="J212" s="348">
        <v>1</v>
      </c>
      <c r="K212" s="348"/>
      <c r="L212" s="348" t="s">
        <v>591</v>
      </c>
      <c r="M212" s="348" t="s">
        <v>983</v>
      </c>
      <c r="N212" s="348" t="s">
        <v>1359</v>
      </c>
      <c r="O212" s="348" t="s">
        <v>592</v>
      </c>
      <c r="P212" s="348" t="s">
        <v>592</v>
      </c>
      <c r="Q212" s="348" t="s">
        <v>592</v>
      </c>
      <c r="R212" s="348"/>
      <c r="S212" s="348" t="s">
        <v>593</v>
      </c>
      <c r="T212" s="348" t="s">
        <v>594</v>
      </c>
      <c r="U212" s="348" t="s">
        <v>40</v>
      </c>
      <c r="V212" s="348" t="s">
        <v>983</v>
      </c>
      <c r="W212" s="348" t="s">
        <v>75</v>
      </c>
      <c r="X212" s="348">
        <f t="shared" si="3"/>
        <v>10</v>
      </c>
    </row>
    <row r="213" spans="1:24" ht="77.099999999999994" customHeight="1" x14ac:dyDescent="0.2">
      <c r="A213" s="348" t="s">
        <v>639</v>
      </c>
      <c r="B213" s="348" t="s">
        <v>640</v>
      </c>
      <c r="C213" s="348">
        <v>0</v>
      </c>
      <c r="D213" s="348">
        <v>0</v>
      </c>
      <c r="E213" s="348">
        <v>0</v>
      </c>
      <c r="F213" s="348">
        <v>0</v>
      </c>
      <c r="G213" s="348">
        <v>0</v>
      </c>
      <c r="H213" s="348">
        <v>1</v>
      </c>
      <c r="I213" s="348">
        <v>0</v>
      </c>
      <c r="J213" s="348">
        <v>1</v>
      </c>
      <c r="K213" s="348"/>
      <c r="L213" s="348" t="s">
        <v>591</v>
      </c>
      <c r="M213" s="348" t="s">
        <v>983</v>
      </c>
      <c r="N213" s="348" t="s">
        <v>1359</v>
      </c>
      <c r="O213" s="348" t="s">
        <v>592</v>
      </c>
      <c r="P213" s="348" t="s">
        <v>592</v>
      </c>
      <c r="Q213" s="348" t="s">
        <v>592</v>
      </c>
      <c r="R213" s="348"/>
      <c r="S213" s="348" t="s">
        <v>593</v>
      </c>
      <c r="T213" s="348" t="s">
        <v>594</v>
      </c>
      <c r="U213" s="348" t="s">
        <v>40</v>
      </c>
      <c r="V213" s="348" t="s">
        <v>983</v>
      </c>
      <c r="W213" s="348" t="s">
        <v>75</v>
      </c>
      <c r="X213" s="348">
        <f t="shared" si="3"/>
        <v>10</v>
      </c>
    </row>
    <row r="214" spans="1:24" ht="77.099999999999994" customHeight="1" x14ac:dyDescent="0.2">
      <c r="A214" s="348" t="s">
        <v>641</v>
      </c>
      <c r="B214" s="348" t="s">
        <v>642</v>
      </c>
      <c r="C214" s="348">
        <v>0</v>
      </c>
      <c r="D214" s="348">
        <v>0</v>
      </c>
      <c r="E214" s="348">
        <v>0</v>
      </c>
      <c r="F214" s="348">
        <v>0</v>
      </c>
      <c r="G214" s="348">
        <v>0</v>
      </c>
      <c r="H214" s="348">
        <v>1</v>
      </c>
      <c r="I214" s="348">
        <v>0</v>
      </c>
      <c r="J214" s="348">
        <v>1</v>
      </c>
      <c r="K214" s="348"/>
      <c r="L214" s="348" t="s">
        <v>591</v>
      </c>
      <c r="M214" s="348" t="s">
        <v>983</v>
      </c>
      <c r="N214" s="348" t="s">
        <v>1359</v>
      </c>
      <c r="O214" s="348" t="s">
        <v>592</v>
      </c>
      <c r="P214" s="348" t="s">
        <v>592</v>
      </c>
      <c r="Q214" s="348" t="s">
        <v>592</v>
      </c>
      <c r="R214" s="348"/>
      <c r="S214" s="348" t="s">
        <v>593</v>
      </c>
      <c r="T214" s="348" t="s">
        <v>594</v>
      </c>
      <c r="U214" s="348" t="s">
        <v>40</v>
      </c>
      <c r="V214" s="348" t="s">
        <v>983</v>
      </c>
      <c r="W214" s="348" t="s">
        <v>75</v>
      </c>
      <c r="X214" s="348">
        <f t="shared" si="3"/>
        <v>10</v>
      </c>
    </row>
    <row r="215" spans="1:24" ht="77.099999999999994" customHeight="1" x14ac:dyDescent="0.2">
      <c r="A215" s="348" t="s">
        <v>643</v>
      </c>
      <c r="B215" s="348" t="s">
        <v>635</v>
      </c>
      <c r="C215" s="348">
        <v>0</v>
      </c>
      <c r="D215" s="348">
        <v>0</v>
      </c>
      <c r="E215" s="348">
        <v>0</v>
      </c>
      <c r="F215" s="348">
        <v>0</v>
      </c>
      <c r="G215" s="348">
        <v>0</v>
      </c>
      <c r="H215" s="348">
        <v>1</v>
      </c>
      <c r="I215" s="348">
        <v>0</v>
      </c>
      <c r="J215" s="348">
        <v>1</v>
      </c>
      <c r="K215" s="348"/>
      <c r="L215" s="348" t="s">
        <v>591</v>
      </c>
      <c r="M215" s="348" t="s">
        <v>983</v>
      </c>
      <c r="N215" s="348" t="s">
        <v>1359</v>
      </c>
      <c r="O215" s="348" t="s">
        <v>592</v>
      </c>
      <c r="P215" s="348" t="s">
        <v>592</v>
      </c>
      <c r="Q215" s="348" t="s">
        <v>592</v>
      </c>
      <c r="R215" s="348"/>
      <c r="S215" s="348" t="s">
        <v>593</v>
      </c>
      <c r="T215" s="348" t="s">
        <v>594</v>
      </c>
      <c r="U215" s="348" t="s">
        <v>40</v>
      </c>
      <c r="V215" s="348" t="s">
        <v>983</v>
      </c>
      <c r="W215" s="348" t="s">
        <v>41</v>
      </c>
      <c r="X215" s="348">
        <f t="shared" si="3"/>
        <v>5</v>
      </c>
    </row>
    <row r="216" spans="1:24" ht="60.75" customHeight="1" x14ac:dyDescent="0.2">
      <c r="A216" s="361" t="s">
        <v>644</v>
      </c>
      <c r="B216" s="361" t="s">
        <v>1016</v>
      </c>
      <c r="C216" s="348">
        <v>0</v>
      </c>
      <c r="D216" s="348">
        <v>0</v>
      </c>
      <c r="E216" s="348">
        <v>0</v>
      </c>
      <c r="F216" s="348">
        <v>0</v>
      </c>
      <c r="G216" s="348">
        <v>0</v>
      </c>
      <c r="H216" s="348">
        <v>1</v>
      </c>
      <c r="I216" s="348">
        <v>0</v>
      </c>
      <c r="J216" s="348">
        <v>1</v>
      </c>
      <c r="K216" s="348"/>
      <c r="L216" s="348" t="s">
        <v>147</v>
      </c>
      <c r="M216" s="348" t="s">
        <v>983</v>
      </c>
      <c r="N216" s="348" t="s">
        <v>1361</v>
      </c>
      <c r="O216" s="348" t="s">
        <v>645</v>
      </c>
      <c r="P216" s="348" t="s">
        <v>645</v>
      </c>
      <c r="Q216" s="348" t="s">
        <v>645</v>
      </c>
      <c r="R216" s="348"/>
      <c r="S216" s="348" t="s">
        <v>646</v>
      </c>
      <c r="T216" s="348" t="s">
        <v>647</v>
      </c>
      <c r="U216" s="348" t="s">
        <v>40</v>
      </c>
      <c r="V216" s="348" t="s">
        <v>983</v>
      </c>
      <c r="W216" s="348" t="s">
        <v>46</v>
      </c>
      <c r="X216" s="348">
        <f t="shared" si="3"/>
        <v>20</v>
      </c>
    </row>
    <row r="217" spans="1:24" ht="57" x14ac:dyDescent="0.2">
      <c r="A217" s="361" t="s">
        <v>648</v>
      </c>
      <c r="B217" s="361" t="s">
        <v>1017</v>
      </c>
      <c r="C217" s="348">
        <v>0</v>
      </c>
      <c r="D217" s="348">
        <v>0</v>
      </c>
      <c r="E217" s="348">
        <v>0</v>
      </c>
      <c r="F217" s="348">
        <v>0</v>
      </c>
      <c r="G217" s="348">
        <v>0</v>
      </c>
      <c r="H217" s="348">
        <v>1</v>
      </c>
      <c r="I217" s="348">
        <v>0</v>
      </c>
      <c r="J217" s="348">
        <v>1</v>
      </c>
      <c r="K217" s="348"/>
      <c r="L217" s="348" t="s">
        <v>147</v>
      </c>
      <c r="M217" s="348" t="s">
        <v>983</v>
      </c>
      <c r="N217" s="348" t="s">
        <v>1361</v>
      </c>
      <c r="O217" s="348" t="s">
        <v>645</v>
      </c>
      <c r="P217" s="348" t="s">
        <v>645</v>
      </c>
      <c r="Q217" s="348" t="s">
        <v>645</v>
      </c>
      <c r="R217" s="348"/>
      <c r="S217" s="348" t="s">
        <v>646</v>
      </c>
      <c r="T217" s="348" t="s">
        <v>647</v>
      </c>
      <c r="U217" s="348" t="s">
        <v>148</v>
      </c>
      <c r="V217" s="348" t="s">
        <v>983</v>
      </c>
      <c r="W217" s="348" t="s">
        <v>46</v>
      </c>
      <c r="X217" s="348">
        <f t="shared" si="3"/>
        <v>20</v>
      </c>
    </row>
    <row r="218" spans="1:24" ht="57" x14ac:dyDescent="0.2">
      <c r="A218" s="361" t="s">
        <v>650</v>
      </c>
      <c r="B218" s="361" t="s">
        <v>1185</v>
      </c>
      <c r="C218" s="348">
        <v>0</v>
      </c>
      <c r="D218" s="348">
        <v>0</v>
      </c>
      <c r="E218" s="348">
        <v>0</v>
      </c>
      <c r="F218" s="348">
        <v>0</v>
      </c>
      <c r="G218" s="348">
        <v>0</v>
      </c>
      <c r="H218" s="348">
        <v>1</v>
      </c>
      <c r="I218" s="348">
        <v>0</v>
      </c>
      <c r="J218" s="348">
        <v>1</v>
      </c>
      <c r="K218" s="348"/>
      <c r="L218" s="348" t="s">
        <v>147</v>
      </c>
      <c r="M218" s="348" t="s">
        <v>983</v>
      </c>
      <c r="N218" s="348" t="s">
        <v>1361</v>
      </c>
      <c r="O218" s="348" t="s">
        <v>645</v>
      </c>
      <c r="P218" s="348" t="s">
        <v>645</v>
      </c>
      <c r="Q218" s="348" t="s">
        <v>645</v>
      </c>
      <c r="R218" s="348"/>
      <c r="S218" s="348" t="s">
        <v>646</v>
      </c>
      <c r="T218" s="348" t="s">
        <v>647</v>
      </c>
      <c r="U218" s="348" t="s">
        <v>148</v>
      </c>
      <c r="V218" s="348" t="s">
        <v>983</v>
      </c>
      <c r="W218" s="348" t="s">
        <v>46</v>
      </c>
      <c r="X218" s="348">
        <f t="shared" si="3"/>
        <v>20</v>
      </c>
    </row>
    <row r="219" spans="1:24" ht="57" x14ac:dyDescent="0.2">
      <c r="A219" s="348" t="s">
        <v>651</v>
      </c>
      <c r="B219" s="348" t="s">
        <v>1186</v>
      </c>
      <c r="C219" s="348">
        <v>0</v>
      </c>
      <c r="D219" s="348">
        <v>0</v>
      </c>
      <c r="E219" s="348">
        <v>0</v>
      </c>
      <c r="F219" s="348">
        <v>0</v>
      </c>
      <c r="G219" s="348">
        <v>0</v>
      </c>
      <c r="H219" s="348">
        <v>1</v>
      </c>
      <c r="I219" s="348">
        <v>0</v>
      </c>
      <c r="J219" s="348">
        <v>1</v>
      </c>
      <c r="K219" s="348"/>
      <c r="L219" s="348" t="s">
        <v>147</v>
      </c>
      <c r="M219" s="348" t="s">
        <v>983</v>
      </c>
      <c r="N219" s="348" t="s">
        <v>1361</v>
      </c>
      <c r="O219" s="348" t="s">
        <v>645</v>
      </c>
      <c r="P219" s="348" t="s">
        <v>645</v>
      </c>
      <c r="Q219" s="348" t="s">
        <v>645</v>
      </c>
      <c r="R219" s="348"/>
      <c r="S219" s="348" t="s">
        <v>646</v>
      </c>
      <c r="T219" s="348" t="s">
        <v>647</v>
      </c>
      <c r="U219" s="348" t="s">
        <v>40</v>
      </c>
      <c r="V219" s="348" t="s">
        <v>983</v>
      </c>
      <c r="W219" s="348" t="s">
        <v>75</v>
      </c>
      <c r="X219" s="348">
        <f t="shared" si="3"/>
        <v>10</v>
      </c>
    </row>
    <row r="220" spans="1:24" ht="57" x14ac:dyDescent="0.2">
      <c r="A220" s="348" t="s">
        <v>653</v>
      </c>
      <c r="B220" s="348" t="s">
        <v>649</v>
      </c>
      <c r="C220" s="348">
        <v>0</v>
      </c>
      <c r="D220" s="348">
        <v>0</v>
      </c>
      <c r="E220" s="348">
        <v>0</v>
      </c>
      <c r="F220" s="348">
        <v>0</v>
      </c>
      <c r="G220" s="348">
        <v>0</v>
      </c>
      <c r="H220" s="348">
        <v>1</v>
      </c>
      <c r="I220" s="348">
        <v>0</v>
      </c>
      <c r="J220" s="348">
        <v>1</v>
      </c>
      <c r="K220" s="348"/>
      <c r="L220" s="348" t="s">
        <v>147</v>
      </c>
      <c r="M220" s="348" t="s">
        <v>983</v>
      </c>
      <c r="N220" s="348" t="s">
        <v>1361</v>
      </c>
      <c r="O220" s="348" t="s">
        <v>645</v>
      </c>
      <c r="P220" s="348" t="s">
        <v>645</v>
      </c>
      <c r="Q220" s="348" t="s">
        <v>645</v>
      </c>
      <c r="R220" s="348"/>
      <c r="S220" s="348" t="s">
        <v>646</v>
      </c>
      <c r="T220" s="348" t="s">
        <v>647</v>
      </c>
      <c r="U220" s="348" t="s">
        <v>40</v>
      </c>
      <c r="V220" s="348" t="s">
        <v>983</v>
      </c>
      <c r="W220" s="348" t="s">
        <v>75</v>
      </c>
      <c r="X220" s="348">
        <f t="shared" si="3"/>
        <v>10</v>
      </c>
    </row>
    <row r="221" spans="1:24" ht="57" x14ac:dyDescent="0.2">
      <c r="A221" s="348" t="s">
        <v>654</v>
      </c>
      <c r="B221" s="348" t="s">
        <v>652</v>
      </c>
      <c r="C221" s="348">
        <v>0</v>
      </c>
      <c r="D221" s="348">
        <v>0</v>
      </c>
      <c r="E221" s="348">
        <v>0</v>
      </c>
      <c r="F221" s="348">
        <v>0</v>
      </c>
      <c r="G221" s="348">
        <v>0</v>
      </c>
      <c r="H221" s="348">
        <v>1</v>
      </c>
      <c r="I221" s="348">
        <v>0</v>
      </c>
      <c r="J221" s="348">
        <v>1</v>
      </c>
      <c r="K221" s="348"/>
      <c r="L221" s="348" t="s">
        <v>147</v>
      </c>
      <c r="M221" s="348" t="s">
        <v>983</v>
      </c>
      <c r="N221" s="348" t="s">
        <v>1361</v>
      </c>
      <c r="O221" s="348" t="s">
        <v>645</v>
      </c>
      <c r="P221" s="348" t="s">
        <v>645</v>
      </c>
      <c r="Q221" s="348" t="s">
        <v>645</v>
      </c>
      <c r="R221" s="348"/>
      <c r="S221" s="348" t="s">
        <v>646</v>
      </c>
      <c r="T221" s="348" t="s">
        <v>647</v>
      </c>
      <c r="U221" s="348" t="s">
        <v>40</v>
      </c>
      <c r="V221" s="348" t="s">
        <v>983</v>
      </c>
      <c r="W221" s="348" t="s">
        <v>75</v>
      </c>
      <c r="X221" s="348">
        <f t="shared" si="3"/>
        <v>10</v>
      </c>
    </row>
    <row r="222" spans="1:24" ht="57" x14ac:dyDescent="0.2">
      <c r="A222" s="348" t="s">
        <v>656</v>
      </c>
      <c r="B222" s="348" t="s">
        <v>1433</v>
      </c>
      <c r="C222" s="348">
        <v>0</v>
      </c>
      <c r="D222" s="348">
        <v>0</v>
      </c>
      <c r="E222" s="348">
        <v>0</v>
      </c>
      <c r="F222" s="348">
        <v>0</v>
      </c>
      <c r="G222" s="348">
        <v>0</v>
      </c>
      <c r="H222" s="348">
        <v>1</v>
      </c>
      <c r="I222" s="348">
        <v>0</v>
      </c>
      <c r="J222" s="348">
        <v>1</v>
      </c>
      <c r="K222" s="348"/>
      <c r="L222" s="348" t="s">
        <v>147</v>
      </c>
      <c r="M222" s="348" t="s">
        <v>983</v>
      </c>
      <c r="N222" s="348" t="s">
        <v>1361</v>
      </c>
      <c r="O222" s="348" t="s">
        <v>645</v>
      </c>
      <c r="P222" s="348" t="s">
        <v>645</v>
      </c>
      <c r="Q222" s="348" t="s">
        <v>645</v>
      </c>
      <c r="R222" s="348"/>
      <c r="S222" s="348" t="s">
        <v>646</v>
      </c>
      <c r="T222" s="348" t="s">
        <v>647</v>
      </c>
      <c r="U222" s="348" t="s">
        <v>40</v>
      </c>
      <c r="V222" s="348" t="s">
        <v>983</v>
      </c>
      <c r="W222" s="348" t="s">
        <v>75</v>
      </c>
      <c r="X222" s="348">
        <f t="shared" si="3"/>
        <v>10</v>
      </c>
    </row>
    <row r="223" spans="1:24" ht="57" x14ac:dyDescent="0.2">
      <c r="A223" s="348" t="s">
        <v>658</v>
      </c>
      <c r="B223" s="348" t="s">
        <v>655</v>
      </c>
      <c r="C223" s="348">
        <v>0</v>
      </c>
      <c r="D223" s="348">
        <v>0</v>
      </c>
      <c r="E223" s="348">
        <v>0</v>
      </c>
      <c r="F223" s="348">
        <v>0</v>
      </c>
      <c r="G223" s="348">
        <v>0</v>
      </c>
      <c r="H223" s="348">
        <v>1</v>
      </c>
      <c r="I223" s="348">
        <v>0</v>
      </c>
      <c r="J223" s="348">
        <v>1</v>
      </c>
      <c r="K223" s="348"/>
      <c r="L223" s="348" t="s">
        <v>147</v>
      </c>
      <c r="M223" s="348" t="s">
        <v>983</v>
      </c>
      <c r="N223" s="348" t="s">
        <v>1361</v>
      </c>
      <c r="O223" s="348" t="s">
        <v>645</v>
      </c>
      <c r="P223" s="348" t="s">
        <v>645</v>
      </c>
      <c r="Q223" s="348" t="s">
        <v>645</v>
      </c>
      <c r="R223" s="348"/>
      <c r="S223" s="348" t="s">
        <v>646</v>
      </c>
      <c r="T223" s="348" t="s">
        <v>647</v>
      </c>
      <c r="U223" s="348" t="s">
        <v>40</v>
      </c>
      <c r="V223" s="348" t="s">
        <v>983</v>
      </c>
      <c r="W223" s="348" t="s">
        <v>75</v>
      </c>
      <c r="X223" s="348">
        <f t="shared" si="3"/>
        <v>10</v>
      </c>
    </row>
    <row r="224" spans="1:24" ht="57" x14ac:dyDescent="0.2">
      <c r="A224" s="348" t="s">
        <v>660</v>
      </c>
      <c r="B224" s="348" t="s">
        <v>657</v>
      </c>
      <c r="C224" s="348">
        <v>0</v>
      </c>
      <c r="D224" s="348">
        <v>0</v>
      </c>
      <c r="E224" s="348">
        <v>0</v>
      </c>
      <c r="F224" s="348">
        <v>0</v>
      </c>
      <c r="G224" s="348">
        <v>0</v>
      </c>
      <c r="H224" s="348">
        <v>1</v>
      </c>
      <c r="I224" s="348">
        <v>0</v>
      </c>
      <c r="J224" s="348">
        <v>1</v>
      </c>
      <c r="K224" s="348"/>
      <c r="L224" s="348" t="s">
        <v>1004</v>
      </c>
      <c r="M224" s="348" t="s">
        <v>983</v>
      </c>
      <c r="N224" s="348" t="s">
        <v>1361</v>
      </c>
      <c r="O224" s="348" t="s">
        <v>645</v>
      </c>
      <c r="P224" s="348" t="s">
        <v>645</v>
      </c>
      <c r="Q224" s="348" t="s">
        <v>645</v>
      </c>
      <c r="R224" s="348"/>
      <c r="S224" s="348" t="s">
        <v>646</v>
      </c>
      <c r="T224" s="348" t="s">
        <v>647</v>
      </c>
      <c r="U224" s="348" t="s">
        <v>1004</v>
      </c>
      <c r="V224" s="348" t="s">
        <v>983</v>
      </c>
      <c r="W224" s="348"/>
      <c r="X224" s="348"/>
    </row>
    <row r="225" spans="1:24" ht="57" x14ac:dyDescent="0.2">
      <c r="A225" s="348" t="s">
        <v>661</v>
      </c>
      <c r="B225" s="348" t="s">
        <v>659</v>
      </c>
      <c r="C225" s="348">
        <v>0</v>
      </c>
      <c r="D225" s="348">
        <v>0</v>
      </c>
      <c r="E225" s="348">
        <v>0</v>
      </c>
      <c r="F225" s="348">
        <v>0</v>
      </c>
      <c r="G225" s="348">
        <v>0</v>
      </c>
      <c r="H225" s="348">
        <v>1</v>
      </c>
      <c r="I225" s="348">
        <v>0</v>
      </c>
      <c r="J225" s="348">
        <v>1</v>
      </c>
      <c r="K225" s="348"/>
      <c r="L225" s="348" t="s">
        <v>1004</v>
      </c>
      <c r="M225" s="348" t="s">
        <v>983</v>
      </c>
      <c r="N225" s="348" t="s">
        <v>1361</v>
      </c>
      <c r="O225" s="348" t="s">
        <v>645</v>
      </c>
      <c r="P225" s="348" t="s">
        <v>645</v>
      </c>
      <c r="Q225" s="348" t="s">
        <v>645</v>
      </c>
      <c r="R225" s="348"/>
      <c r="S225" s="348" t="s">
        <v>646</v>
      </c>
      <c r="T225" s="348" t="s">
        <v>647</v>
      </c>
      <c r="U225" s="348" t="s">
        <v>1004</v>
      </c>
      <c r="V225" s="348" t="s">
        <v>983</v>
      </c>
      <c r="W225" s="348"/>
      <c r="X225" s="348"/>
    </row>
    <row r="226" spans="1:24" ht="57" x14ac:dyDescent="0.2">
      <c r="A226" s="348" t="s">
        <v>662</v>
      </c>
      <c r="B226" s="348" t="s">
        <v>1029</v>
      </c>
      <c r="C226" s="348">
        <v>0</v>
      </c>
      <c r="D226" s="348">
        <v>0</v>
      </c>
      <c r="E226" s="348">
        <v>0</v>
      </c>
      <c r="F226" s="348">
        <v>0</v>
      </c>
      <c r="G226" s="348">
        <v>0</v>
      </c>
      <c r="H226" s="348">
        <v>1</v>
      </c>
      <c r="I226" s="348">
        <v>0</v>
      </c>
      <c r="J226" s="348">
        <v>1</v>
      </c>
      <c r="K226" s="348"/>
      <c r="L226" s="348" t="s">
        <v>147</v>
      </c>
      <c r="M226" s="348" t="s">
        <v>983</v>
      </c>
      <c r="N226" s="348" t="s">
        <v>1361</v>
      </c>
      <c r="O226" s="348" t="s">
        <v>645</v>
      </c>
      <c r="P226" s="348" t="s">
        <v>645</v>
      </c>
      <c r="Q226" s="348" t="s">
        <v>645</v>
      </c>
      <c r="R226" s="348"/>
      <c r="S226" s="348" t="s">
        <v>646</v>
      </c>
      <c r="T226" s="348" t="s">
        <v>647</v>
      </c>
      <c r="U226" s="348" t="s">
        <v>40</v>
      </c>
      <c r="V226" s="348" t="s">
        <v>983</v>
      </c>
      <c r="W226" s="348" t="s">
        <v>41</v>
      </c>
      <c r="X226" s="348">
        <f t="shared" si="3"/>
        <v>5</v>
      </c>
    </row>
    <row r="227" spans="1:24" ht="71.25" x14ac:dyDescent="0.2">
      <c r="A227" s="348" t="s">
        <v>663</v>
      </c>
      <c r="B227" s="348" t="s">
        <v>1119</v>
      </c>
      <c r="C227" s="348">
        <v>0</v>
      </c>
      <c r="D227" s="348">
        <v>0</v>
      </c>
      <c r="E227" s="348">
        <v>0</v>
      </c>
      <c r="F227" s="348">
        <v>0</v>
      </c>
      <c r="G227" s="348">
        <v>0</v>
      </c>
      <c r="H227" s="348">
        <v>1</v>
      </c>
      <c r="I227" s="348">
        <v>0</v>
      </c>
      <c r="J227" s="348">
        <v>1</v>
      </c>
      <c r="K227" s="348"/>
      <c r="L227" s="348" t="s">
        <v>1004</v>
      </c>
      <c r="M227" s="348" t="s">
        <v>983</v>
      </c>
      <c r="N227" s="348" t="s">
        <v>1361</v>
      </c>
      <c r="O227" s="348" t="s">
        <v>645</v>
      </c>
      <c r="P227" s="348" t="s">
        <v>645</v>
      </c>
      <c r="Q227" s="348" t="s">
        <v>645</v>
      </c>
      <c r="R227" s="348"/>
      <c r="S227" s="348" t="s">
        <v>646</v>
      </c>
      <c r="T227" s="348" t="s">
        <v>647</v>
      </c>
      <c r="U227" s="348" t="s">
        <v>1004</v>
      </c>
      <c r="V227" s="348" t="s">
        <v>983</v>
      </c>
      <c r="W227" s="348"/>
      <c r="X227" s="348"/>
    </row>
    <row r="228" spans="1:24" ht="235.5" customHeight="1" x14ac:dyDescent="0.2">
      <c r="A228" s="225" t="s">
        <v>664</v>
      </c>
      <c r="B228" s="348" t="s">
        <v>671</v>
      </c>
      <c r="C228" s="348">
        <v>0</v>
      </c>
      <c r="D228" s="348">
        <v>0</v>
      </c>
      <c r="E228" s="348">
        <v>0</v>
      </c>
      <c r="F228" s="348">
        <v>0</v>
      </c>
      <c r="G228" s="348">
        <v>0</v>
      </c>
      <c r="H228" s="348">
        <v>1</v>
      </c>
      <c r="I228" s="348">
        <v>0</v>
      </c>
      <c r="J228" s="348">
        <v>0</v>
      </c>
      <c r="K228" s="348"/>
      <c r="L228" s="348" t="s">
        <v>147</v>
      </c>
      <c r="M228" s="348" t="s">
        <v>975</v>
      </c>
      <c r="N228" s="348" t="s">
        <v>1362</v>
      </c>
      <c r="O228" s="348" t="s">
        <v>975</v>
      </c>
      <c r="P228" s="348" t="s">
        <v>672</v>
      </c>
      <c r="Q228" s="348" t="s">
        <v>673</v>
      </c>
      <c r="R228" s="348"/>
      <c r="S228" s="348" t="s">
        <v>1210</v>
      </c>
      <c r="T228" s="348" t="s">
        <v>1363</v>
      </c>
      <c r="U228" s="348" t="s">
        <v>40</v>
      </c>
      <c r="V228" s="348" t="s">
        <v>975</v>
      </c>
      <c r="W228" s="348" t="s">
        <v>75</v>
      </c>
      <c r="X228" s="348">
        <f t="shared" si="3"/>
        <v>10</v>
      </c>
    </row>
    <row r="229" spans="1:24" ht="231" customHeight="1" x14ac:dyDescent="0.2">
      <c r="A229" s="225" t="s">
        <v>666</v>
      </c>
      <c r="B229" s="348" t="s">
        <v>675</v>
      </c>
      <c r="C229" s="348">
        <v>0</v>
      </c>
      <c r="D229" s="348">
        <v>0</v>
      </c>
      <c r="E229" s="348">
        <v>0</v>
      </c>
      <c r="F229" s="348">
        <v>0</v>
      </c>
      <c r="G229" s="348">
        <v>0</v>
      </c>
      <c r="H229" s="348">
        <v>1</v>
      </c>
      <c r="I229" s="348">
        <v>0</v>
      </c>
      <c r="J229" s="348">
        <v>0</v>
      </c>
      <c r="K229" s="348"/>
      <c r="L229" s="348" t="s">
        <v>147</v>
      </c>
      <c r="M229" s="348" t="s">
        <v>975</v>
      </c>
      <c r="N229" s="348" t="s">
        <v>1362</v>
      </c>
      <c r="O229" s="348" t="s">
        <v>975</v>
      </c>
      <c r="P229" s="348" t="s">
        <v>975</v>
      </c>
      <c r="Q229" s="348" t="s">
        <v>676</v>
      </c>
      <c r="R229" s="348"/>
      <c r="S229" s="348" t="s">
        <v>1398</v>
      </c>
      <c r="T229" s="348" t="s">
        <v>1364</v>
      </c>
      <c r="U229" s="348" t="s">
        <v>148</v>
      </c>
      <c r="V229" s="348" t="s">
        <v>975</v>
      </c>
      <c r="W229" s="348" t="s">
        <v>75</v>
      </c>
      <c r="X229" s="348">
        <f t="shared" si="3"/>
        <v>10</v>
      </c>
    </row>
    <row r="230" spans="1:24" ht="213.75" x14ac:dyDescent="0.2">
      <c r="A230" s="225" t="s">
        <v>670</v>
      </c>
      <c r="B230" s="348" t="s">
        <v>678</v>
      </c>
      <c r="C230" s="348">
        <v>0</v>
      </c>
      <c r="D230" s="348">
        <v>0</v>
      </c>
      <c r="E230" s="348">
        <v>0</v>
      </c>
      <c r="F230" s="348">
        <v>0</v>
      </c>
      <c r="G230" s="348">
        <v>0</v>
      </c>
      <c r="H230" s="348">
        <v>1</v>
      </c>
      <c r="I230" s="348">
        <v>0</v>
      </c>
      <c r="J230" s="348">
        <v>0</v>
      </c>
      <c r="K230" s="348"/>
      <c r="L230" s="348" t="s">
        <v>147</v>
      </c>
      <c r="M230" s="348" t="s">
        <v>975</v>
      </c>
      <c r="N230" s="348" t="s">
        <v>1362</v>
      </c>
      <c r="O230" s="348" t="s">
        <v>975</v>
      </c>
      <c r="P230" s="348" t="s">
        <v>679</v>
      </c>
      <c r="Q230" s="348" t="s">
        <v>680</v>
      </c>
      <c r="R230" s="348"/>
      <c r="S230" s="348" t="s">
        <v>1187</v>
      </c>
      <c r="T230" s="348" t="s">
        <v>1365</v>
      </c>
      <c r="U230" s="348" t="s">
        <v>40</v>
      </c>
      <c r="V230" s="348" t="s">
        <v>975</v>
      </c>
      <c r="W230" s="348" t="s">
        <v>75</v>
      </c>
      <c r="X230" s="348">
        <f t="shared" si="3"/>
        <v>10</v>
      </c>
    </row>
    <row r="231" spans="1:24" ht="228.75" customHeight="1" x14ac:dyDescent="0.2">
      <c r="A231" s="225" t="s">
        <v>674</v>
      </c>
      <c r="B231" s="348" t="s">
        <v>682</v>
      </c>
      <c r="C231" s="348">
        <v>0</v>
      </c>
      <c r="D231" s="348">
        <v>0</v>
      </c>
      <c r="E231" s="348">
        <v>0</v>
      </c>
      <c r="F231" s="348">
        <v>0</v>
      </c>
      <c r="G231" s="348">
        <v>0</v>
      </c>
      <c r="H231" s="348">
        <v>1</v>
      </c>
      <c r="I231" s="348">
        <v>0</v>
      </c>
      <c r="J231" s="348">
        <v>0</v>
      </c>
      <c r="K231" s="348"/>
      <c r="L231" s="348" t="s">
        <v>147</v>
      </c>
      <c r="M231" s="348" t="s">
        <v>975</v>
      </c>
      <c r="N231" s="348" t="s">
        <v>1362</v>
      </c>
      <c r="O231" s="348" t="s">
        <v>975</v>
      </c>
      <c r="P231" s="348" t="s">
        <v>975</v>
      </c>
      <c r="Q231" s="348" t="s">
        <v>676</v>
      </c>
      <c r="R231" s="348"/>
      <c r="S231" s="348" t="s">
        <v>1399</v>
      </c>
      <c r="T231" s="348" t="s">
        <v>1364</v>
      </c>
      <c r="U231" s="348" t="s">
        <v>148</v>
      </c>
      <c r="V231" s="348" t="s">
        <v>975</v>
      </c>
      <c r="W231" s="348" t="s">
        <v>75</v>
      </c>
      <c r="X231" s="348">
        <f t="shared" si="3"/>
        <v>10</v>
      </c>
    </row>
    <row r="232" spans="1:24" ht="214.5" customHeight="1" x14ac:dyDescent="0.2">
      <c r="A232" s="225" t="s">
        <v>677</v>
      </c>
      <c r="B232" s="348" t="s">
        <v>1530</v>
      </c>
      <c r="C232" s="348">
        <v>0</v>
      </c>
      <c r="D232" s="348">
        <v>0</v>
      </c>
      <c r="E232" s="348">
        <v>0</v>
      </c>
      <c r="F232" s="348">
        <v>0</v>
      </c>
      <c r="G232" s="348">
        <v>0</v>
      </c>
      <c r="H232" s="348">
        <v>1</v>
      </c>
      <c r="I232" s="348">
        <v>0</v>
      </c>
      <c r="J232" s="348">
        <v>0</v>
      </c>
      <c r="K232" s="348"/>
      <c r="L232" s="348" t="s">
        <v>147</v>
      </c>
      <c r="M232" s="348" t="s">
        <v>975</v>
      </c>
      <c r="N232" s="348" t="s">
        <v>1362</v>
      </c>
      <c r="O232" s="348" t="s">
        <v>975</v>
      </c>
      <c r="P232" s="348" t="s">
        <v>975</v>
      </c>
      <c r="Q232" s="348" t="s">
        <v>684</v>
      </c>
      <c r="R232" s="348" t="s">
        <v>1528</v>
      </c>
      <c r="S232" s="348" t="s">
        <v>685</v>
      </c>
      <c r="T232" s="348" t="s">
        <v>1366</v>
      </c>
      <c r="U232" s="348" t="s">
        <v>40</v>
      </c>
      <c r="V232" s="348" t="s">
        <v>975</v>
      </c>
      <c r="W232" s="348" t="s">
        <v>75</v>
      </c>
      <c r="X232" s="348">
        <f t="shared" si="3"/>
        <v>10</v>
      </c>
    </row>
    <row r="233" spans="1:24" ht="90" customHeight="1" x14ac:dyDescent="0.2">
      <c r="A233" s="225" t="s">
        <v>681</v>
      </c>
      <c r="B233" s="348" t="s">
        <v>1120</v>
      </c>
      <c r="C233" s="348">
        <v>0</v>
      </c>
      <c r="D233" s="348">
        <v>0</v>
      </c>
      <c r="E233" s="348">
        <v>0</v>
      </c>
      <c r="F233" s="348">
        <v>0</v>
      </c>
      <c r="G233" s="348">
        <v>0</v>
      </c>
      <c r="H233" s="348">
        <v>1</v>
      </c>
      <c r="I233" s="348">
        <v>0</v>
      </c>
      <c r="J233" s="348">
        <v>0</v>
      </c>
      <c r="K233" s="348"/>
      <c r="L233" s="348" t="s">
        <v>147</v>
      </c>
      <c r="M233" s="348" t="s">
        <v>975</v>
      </c>
      <c r="N233" s="348" t="s">
        <v>1362</v>
      </c>
      <c r="O233" s="348" t="s">
        <v>975</v>
      </c>
      <c r="P233" s="348" t="s">
        <v>399</v>
      </c>
      <c r="Q233" s="348" t="s">
        <v>400</v>
      </c>
      <c r="R233" s="348" t="s">
        <v>1528</v>
      </c>
      <c r="S233" s="348" t="s">
        <v>1434</v>
      </c>
      <c r="T233" s="348" t="s">
        <v>401</v>
      </c>
      <c r="U233" s="348" t="s">
        <v>40</v>
      </c>
      <c r="V233" s="348" t="s">
        <v>975</v>
      </c>
      <c r="W233" s="348" t="s">
        <v>75</v>
      </c>
      <c r="X233" s="348">
        <f t="shared" si="3"/>
        <v>10</v>
      </c>
    </row>
    <row r="234" spans="1:24" ht="142.5" x14ac:dyDescent="0.2">
      <c r="A234" s="225" t="s">
        <v>683</v>
      </c>
      <c r="B234" s="348" t="s">
        <v>688</v>
      </c>
      <c r="C234" s="348">
        <v>0</v>
      </c>
      <c r="D234" s="348">
        <v>0</v>
      </c>
      <c r="E234" s="348">
        <v>0</v>
      </c>
      <c r="F234" s="348">
        <v>0</v>
      </c>
      <c r="G234" s="348">
        <v>0</v>
      </c>
      <c r="H234" s="348">
        <v>1</v>
      </c>
      <c r="I234" s="348">
        <v>0</v>
      </c>
      <c r="J234" s="348">
        <v>0</v>
      </c>
      <c r="K234" s="348"/>
      <c r="L234" s="348" t="s">
        <v>147</v>
      </c>
      <c r="M234" s="348" t="s">
        <v>975</v>
      </c>
      <c r="N234" s="348" t="s">
        <v>1362</v>
      </c>
      <c r="O234" s="348" t="s">
        <v>975</v>
      </c>
      <c r="P234" s="348" t="s">
        <v>689</v>
      </c>
      <c r="Q234" s="348" t="s">
        <v>690</v>
      </c>
      <c r="R234" s="348"/>
      <c r="S234" s="348" t="s">
        <v>1367</v>
      </c>
      <c r="T234" s="348" t="s">
        <v>691</v>
      </c>
      <c r="U234" s="348" t="s">
        <v>40</v>
      </c>
      <c r="V234" s="348" t="s">
        <v>975</v>
      </c>
      <c r="W234" s="348" t="s">
        <v>75</v>
      </c>
      <c r="X234" s="348">
        <f t="shared" si="3"/>
        <v>10</v>
      </c>
    </row>
    <row r="235" spans="1:24" ht="142.5" x14ac:dyDescent="0.2">
      <c r="A235" s="225" t="s">
        <v>686</v>
      </c>
      <c r="B235" s="348" t="s">
        <v>693</v>
      </c>
      <c r="C235" s="348">
        <v>0</v>
      </c>
      <c r="D235" s="348">
        <v>0</v>
      </c>
      <c r="E235" s="348">
        <v>0</v>
      </c>
      <c r="F235" s="348">
        <v>0</v>
      </c>
      <c r="G235" s="348">
        <v>0</v>
      </c>
      <c r="H235" s="348">
        <v>1</v>
      </c>
      <c r="I235" s="348">
        <v>0</v>
      </c>
      <c r="J235" s="348">
        <v>0</v>
      </c>
      <c r="K235" s="348"/>
      <c r="L235" s="348" t="s">
        <v>1004</v>
      </c>
      <c r="M235" s="348" t="s">
        <v>975</v>
      </c>
      <c r="N235" s="348" t="s">
        <v>1362</v>
      </c>
      <c r="O235" s="348" t="s">
        <v>694</v>
      </c>
      <c r="P235" s="348" t="s">
        <v>694</v>
      </c>
      <c r="Q235" s="348" t="s">
        <v>694</v>
      </c>
      <c r="R235" s="348"/>
      <c r="S235" s="348" t="s">
        <v>1368</v>
      </c>
      <c r="T235" s="348" t="s">
        <v>695</v>
      </c>
      <c r="U235" s="348" t="s">
        <v>1004</v>
      </c>
      <c r="V235" s="348" t="s">
        <v>975</v>
      </c>
      <c r="W235" s="348"/>
      <c r="X235" s="348"/>
    </row>
    <row r="236" spans="1:24" ht="171" x14ac:dyDescent="0.2">
      <c r="A236" s="225" t="s">
        <v>687</v>
      </c>
      <c r="B236" s="348" t="s">
        <v>1216</v>
      </c>
      <c r="C236" s="348">
        <v>0</v>
      </c>
      <c r="D236" s="348">
        <v>0</v>
      </c>
      <c r="E236" s="348">
        <v>0</v>
      </c>
      <c r="F236" s="348">
        <v>0</v>
      </c>
      <c r="G236" s="348">
        <v>0</v>
      </c>
      <c r="H236" s="348">
        <v>1</v>
      </c>
      <c r="I236" s="348">
        <v>0</v>
      </c>
      <c r="J236" s="348">
        <v>0</v>
      </c>
      <c r="K236" s="348"/>
      <c r="L236" s="348" t="s">
        <v>1004</v>
      </c>
      <c r="M236" s="348" t="s">
        <v>975</v>
      </c>
      <c r="N236" s="348" t="s">
        <v>1362</v>
      </c>
      <c r="O236" s="348" t="s">
        <v>665</v>
      </c>
      <c r="P236" s="348" t="s">
        <v>665</v>
      </c>
      <c r="Q236" s="348" t="s">
        <v>665</v>
      </c>
      <c r="R236" s="348"/>
      <c r="S236" s="348" t="s">
        <v>1369</v>
      </c>
      <c r="T236" s="348" t="s">
        <v>1370</v>
      </c>
      <c r="U236" s="348" t="s">
        <v>1004</v>
      </c>
      <c r="V236" s="348" t="s">
        <v>975</v>
      </c>
      <c r="W236" s="348"/>
      <c r="X236" s="348"/>
    </row>
    <row r="237" spans="1:24" ht="199.5" x14ac:dyDescent="0.2">
      <c r="A237" s="225" t="s">
        <v>692</v>
      </c>
      <c r="B237" s="348" t="s">
        <v>667</v>
      </c>
      <c r="C237" s="348">
        <v>0</v>
      </c>
      <c r="D237" s="348">
        <v>0</v>
      </c>
      <c r="E237" s="348">
        <v>0</v>
      </c>
      <c r="F237" s="348">
        <v>0</v>
      </c>
      <c r="G237" s="348">
        <v>0</v>
      </c>
      <c r="H237" s="348">
        <v>1</v>
      </c>
      <c r="I237" s="348">
        <v>0</v>
      </c>
      <c r="J237" s="348">
        <v>0</v>
      </c>
      <c r="K237" s="348"/>
      <c r="L237" s="348" t="s">
        <v>147</v>
      </c>
      <c r="M237" s="348" t="s">
        <v>975</v>
      </c>
      <c r="N237" s="348" t="s">
        <v>1362</v>
      </c>
      <c r="O237" s="348" t="s">
        <v>975</v>
      </c>
      <c r="P237" s="348" t="s">
        <v>668</v>
      </c>
      <c r="Q237" s="348" t="s">
        <v>669</v>
      </c>
      <c r="R237" s="348"/>
      <c r="S237" s="348" t="s">
        <v>1371</v>
      </c>
      <c r="T237" s="348" t="s">
        <v>1211</v>
      </c>
      <c r="U237" s="348" t="s">
        <v>40</v>
      </c>
      <c r="V237" s="348" t="s">
        <v>975</v>
      </c>
      <c r="W237" s="348" t="s">
        <v>41</v>
      </c>
      <c r="X237" s="348">
        <f t="shared" si="3"/>
        <v>5</v>
      </c>
    </row>
    <row r="238" spans="1:24" ht="99.75" x14ac:dyDescent="0.2">
      <c r="A238" s="349" t="s">
        <v>857</v>
      </c>
      <c r="B238" s="349" t="s">
        <v>1188</v>
      </c>
      <c r="C238" s="350">
        <v>0</v>
      </c>
      <c r="D238" s="350">
        <v>0</v>
      </c>
      <c r="E238" s="350">
        <v>0</v>
      </c>
      <c r="F238" s="350">
        <v>0</v>
      </c>
      <c r="G238" s="350">
        <v>0</v>
      </c>
      <c r="H238" s="350">
        <v>0</v>
      </c>
      <c r="I238" s="350">
        <v>0</v>
      </c>
      <c r="J238" s="350">
        <v>1</v>
      </c>
      <c r="K238" s="349" t="s">
        <v>22</v>
      </c>
      <c r="L238" s="349" t="s">
        <v>1004</v>
      </c>
      <c r="M238" s="351"/>
      <c r="N238" s="351"/>
      <c r="O238" s="349" t="s">
        <v>1546</v>
      </c>
      <c r="P238" s="349" t="s">
        <v>1546</v>
      </c>
      <c r="Q238" s="349" t="s">
        <v>1547</v>
      </c>
      <c r="R238" s="351"/>
      <c r="S238" s="349" t="s">
        <v>1548</v>
      </c>
      <c r="T238" s="349" t="s">
        <v>1549</v>
      </c>
      <c r="U238" s="349" t="s">
        <v>1004</v>
      </c>
      <c r="V238" s="351"/>
      <c r="W238" s="351"/>
      <c r="X238" s="350"/>
    </row>
    <row r="239" spans="1:24" ht="171" x14ac:dyDescent="0.2">
      <c r="A239" s="349" t="s">
        <v>858</v>
      </c>
      <c r="B239" s="349" t="s">
        <v>1189</v>
      </c>
      <c r="C239" s="350">
        <v>0</v>
      </c>
      <c r="D239" s="350">
        <v>0</v>
      </c>
      <c r="E239" s="350">
        <v>0</v>
      </c>
      <c r="F239" s="350">
        <v>0</v>
      </c>
      <c r="G239" s="350">
        <v>0</v>
      </c>
      <c r="H239" s="350">
        <v>0</v>
      </c>
      <c r="I239" s="350">
        <v>0</v>
      </c>
      <c r="J239" s="350">
        <v>1</v>
      </c>
      <c r="K239" s="349" t="s">
        <v>22</v>
      </c>
      <c r="L239" s="349" t="s">
        <v>1004</v>
      </c>
      <c r="M239" s="351"/>
      <c r="N239" s="351"/>
      <c r="O239" s="349" t="s">
        <v>1550</v>
      </c>
      <c r="P239" s="349" t="s">
        <v>1550</v>
      </c>
      <c r="Q239" s="349" t="s">
        <v>1551</v>
      </c>
      <c r="R239" s="351"/>
      <c r="S239" s="349" t="s">
        <v>1548</v>
      </c>
      <c r="T239" s="351"/>
      <c r="U239" s="349" t="s">
        <v>1004</v>
      </c>
      <c r="V239" s="351"/>
      <c r="W239" s="351"/>
      <c r="X239" s="350"/>
    </row>
    <row r="240" spans="1:24" ht="71.25" x14ac:dyDescent="0.2">
      <c r="A240" s="349" t="s">
        <v>859</v>
      </c>
      <c r="B240" s="349" t="s">
        <v>1190</v>
      </c>
      <c r="C240" s="350">
        <v>0</v>
      </c>
      <c r="D240" s="350">
        <v>0</v>
      </c>
      <c r="E240" s="350">
        <v>0</v>
      </c>
      <c r="F240" s="350">
        <v>0</v>
      </c>
      <c r="G240" s="350">
        <v>0</v>
      </c>
      <c r="H240" s="350">
        <v>0</v>
      </c>
      <c r="I240" s="350">
        <v>0</v>
      </c>
      <c r="J240" s="350">
        <v>1</v>
      </c>
      <c r="K240" s="349" t="s">
        <v>22</v>
      </c>
      <c r="L240" s="349" t="s">
        <v>1004</v>
      </c>
      <c r="M240" s="351"/>
      <c r="N240" s="351"/>
      <c r="O240" s="351"/>
      <c r="P240" s="351"/>
      <c r="Q240" s="349" t="s">
        <v>1552</v>
      </c>
      <c r="R240" s="351"/>
      <c r="S240" s="349" t="s">
        <v>1548</v>
      </c>
      <c r="T240" s="351"/>
      <c r="U240" s="349" t="s">
        <v>1004</v>
      </c>
      <c r="V240" s="351"/>
      <c r="W240" s="351"/>
      <c r="X240" s="350"/>
    </row>
    <row r="241" spans="1:24" ht="85.5" x14ac:dyDescent="0.2">
      <c r="A241" s="349" t="s">
        <v>860</v>
      </c>
      <c r="B241" s="349" t="s">
        <v>1191</v>
      </c>
      <c r="C241" s="350">
        <v>0</v>
      </c>
      <c r="D241" s="350">
        <v>0</v>
      </c>
      <c r="E241" s="350">
        <v>0</v>
      </c>
      <c r="F241" s="350">
        <v>0</v>
      </c>
      <c r="G241" s="350">
        <v>0</v>
      </c>
      <c r="H241" s="350">
        <v>0</v>
      </c>
      <c r="I241" s="350">
        <v>0</v>
      </c>
      <c r="J241" s="350">
        <v>1</v>
      </c>
      <c r="K241" s="349" t="s">
        <v>22</v>
      </c>
      <c r="L241" s="349" t="s">
        <v>1004</v>
      </c>
      <c r="M241" s="351"/>
      <c r="N241" s="351"/>
      <c r="O241" s="351"/>
      <c r="P241" s="351"/>
      <c r="Q241" s="349" t="s">
        <v>1553</v>
      </c>
      <c r="R241" s="351"/>
      <c r="S241" s="349" t="s">
        <v>1548</v>
      </c>
      <c r="T241" s="351"/>
      <c r="U241" s="349" t="s">
        <v>1004</v>
      </c>
      <c r="V241" s="351"/>
      <c r="W241" s="351"/>
      <c r="X241" s="350"/>
    </row>
    <row r="242" spans="1:24" ht="85.5" x14ac:dyDescent="0.2">
      <c r="A242" s="349" t="s">
        <v>861</v>
      </c>
      <c r="B242" s="349" t="s">
        <v>696</v>
      </c>
      <c r="C242" s="350">
        <v>0</v>
      </c>
      <c r="D242" s="350">
        <v>0</v>
      </c>
      <c r="E242" s="350">
        <v>0</v>
      </c>
      <c r="F242" s="350">
        <v>0</v>
      </c>
      <c r="G242" s="350">
        <v>0</v>
      </c>
      <c r="H242" s="350">
        <v>0</v>
      </c>
      <c r="I242" s="350">
        <v>0</v>
      </c>
      <c r="J242" s="350">
        <v>1</v>
      </c>
      <c r="K242" s="349"/>
      <c r="L242" s="349" t="s">
        <v>1004</v>
      </c>
      <c r="M242" s="351"/>
      <c r="N242" s="351"/>
      <c r="O242" s="349" t="s">
        <v>1554</v>
      </c>
      <c r="P242" s="349" t="s">
        <v>1554</v>
      </c>
      <c r="Q242" s="349" t="s">
        <v>1554</v>
      </c>
      <c r="R242" s="351"/>
      <c r="S242" s="351" t="s">
        <v>1816</v>
      </c>
      <c r="T242" s="351" t="s">
        <v>1817</v>
      </c>
      <c r="U242" s="352" t="s">
        <v>1004</v>
      </c>
      <c r="V242" s="351"/>
      <c r="W242" s="349"/>
      <c r="X242" s="350"/>
    </row>
    <row r="243" spans="1:24" ht="99.75" x14ac:dyDescent="0.2">
      <c r="A243" s="363" t="s">
        <v>697</v>
      </c>
      <c r="B243" s="363" t="s">
        <v>1121</v>
      </c>
      <c r="C243" s="350">
        <v>0</v>
      </c>
      <c r="D243" s="350">
        <v>0</v>
      </c>
      <c r="E243" s="350">
        <v>0</v>
      </c>
      <c r="F243" s="350">
        <v>0</v>
      </c>
      <c r="G243" s="350">
        <v>0</v>
      </c>
      <c r="H243" s="350">
        <v>0</v>
      </c>
      <c r="I243" s="350">
        <v>0</v>
      </c>
      <c r="J243" s="350">
        <v>1</v>
      </c>
      <c r="K243" s="351"/>
      <c r="L243" s="349" t="s">
        <v>9</v>
      </c>
      <c r="M243" s="351"/>
      <c r="N243" s="351"/>
      <c r="O243" s="351"/>
      <c r="P243" s="351"/>
      <c r="Q243" s="349" t="s">
        <v>1555</v>
      </c>
      <c r="R243" s="351"/>
      <c r="S243" s="349" t="s">
        <v>1890</v>
      </c>
      <c r="T243" s="351"/>
      <c r="U243" s="349" t="s">
        <v>148</v>
      </c>
      <c r="V243" s="351"/>
      <c r="W243" s="349" t="s">
        <v>46</v>
      </c>
      <c r="X243" s="350">
        <v>20</v>
      </c>
    </row>
    <row r="244" spans="1:24" ht="15.75" customHeight="1" x14ac:dyDescent="0.2">
      <c r="A244" s="349" t="s">
        <v>699</v>
      </c>
      <c r="B244" s="349" t="s">
        <v>1018</v>
      </c>
      <c r="C244" s="350">
        <v>0</v>
      </c>
      <c r="D244" s="350">
        <v>0</v>
      </c>
      <c r="E244" s="350">
        <v>0</v>
      </c>
      <c r="F244" s="350">
        <v>0</v>
      </c>
      <c r="G244" s="350">
        <v>0</v>
      </c>
      <c r="H244" s="350">
        <v>0</v>
      </c>
      <c r="I244" s="350">
        <v>0</v>
      </c>
      <c r="J244" s="350">
        <v>1</v>
      </c>
      <c r="K244" s="349"/>
      <c r="L244" s="349" t="s">
        <v>1004</v>
      </c>
      <c r="M244" s="351"/>
      <c r="N244" s="351"/>
      <c r="O244" s="349" t="s">
        <v>1556</v>
      </c>
      <c r="P244" s="349" t="s">
        <v>1556</v>
      </c>
      <c r="Q244" s="349" t="s">
        <v>1556</v>
      </c>
      <c r="R244" s="351"/>
      <c r="S244" s="351" t="s">
        <v>1818</v>
      </c>
      <c r="T244" s="351"/>
      <c r="U244" s="352" t="s">
        <v>1004</v>
      </c>
      <c r="V244" s="351"/>
      <c r="W244" s="349"/>
      <c r="X244" s="350"/>
    </row>
    <row r="245" spans="1:24" ht="85.5" x14ac:dyDescent="0.2">
      <c r="A245" s="349" t="s">
        <v>700</v>
      </c>
      <c r="B245" s="349" t="s">
        <v>1557</v>
      </c>
      <c r="C245" s="350">
        <v>0</v>
      </c>
      <c r="D245" s="350">
        <v>0</v>
      </c>
      <c r="E245" s="350">
        <v>0</v>
      </c>
      <c r="F245" s="350">
        <v>0</v>
      </c>
      <c r="G245" s="350">
        <v>0</v>
      </c>
      <c r="H245" s="350">
        <v>0</v>
      </c>
      <c r="I245" s="350">
        <v>0</v>
      </c>
      <c r="J245" s="350">
        <v>1</v>
      </c>
      <c r="K245" s="351"/>
      <c r="L245" s="349" t="s">
        <v>9</v>
      </c>
      <c r="M245" s="351"/>
      <c r="N245" s="351"/>
      <c r="O245" s="351"/>
      <c r="P245" s="351"/>
      <c r="Q245" s="349" t="s">
        <v>1558</v>
      </c>
      <c r="R245" s="351"/>
      <c r="S245" s="349" t="s">
        <v>1559</v>
      </c>
      <c r="T245" s="351"/>
      <c r="U245" s="349" t="s">
        <v>148</v>
      </c>
      <c r="V245" s="351"/>
      <c r="W245" s="349" t="s">
        <v>41</v>
      </c>
      <c r="X245" s="350">
        <v>5</v>
      </c>
    </row>
    <row r="246" spans="1:24" ht="85.5" x14ac:dyDescent="0.2">
      <c r="A246" s="349" t="s">
        <v>701</v>
      </c>
      <c r="B246" s="349" t="s">
        <v>698</v>
      </c>
      <c r="C246" s="350">
        <v>0</v>
      </c>
      <c r="D246" s="350">
        <v>0</v>
      </c>
      <c r="E246" s="350">
        <v>0</v>
      </c>
      <c r="F246" s="350">
        <v>0</v>
      </c>
      <c r="G246" s="350">
        <v>0</v>
      </c>
      <c r="H246" s="350">
        <v>0</v>
      </c>
      <c r="I246" s="350">
        <v>0</v>
      </c>
      <c r="J246" s="350">
        <v>1</v>
      </c>
      <c r="K246" s="351"/>
      <c r="L246" s="349" t="s">
        <v>9</v>
      </c>
      <c r="M246" s="351"/>
      <c r="N246" s="351"/>
      <c r="O246" s="349" t="s">
        <v>1560</v>
      </c>
      <c r="P246" s="349" t="s">
        <v>1561</v>
      </c>
      <c r="Q246" s="349" t="s">
        <v>1562</v>
      </c>
      <c r="R246" s="351"/>
      <c r="S246" s="349" t="s">
        <v>1563</v>
      </c>
      <c r="T246" s="351"/>
      <c r="U246" s="349" t="s">
        <v>40</v>
      </c>
      <c r="V246" s="351"/>
      <c r="W246" s="349" t="s">
        <v>41</v>
      </c>
      <c r="X246" s="350">
        <v>5</v>
      </c>
    </row>
    <row r="247" spans="1:24" ht="256.5" x14ac:dyDescent="0.2">
      <c r="A247" s="349" t="s">
        <v>702</v>
      </c>
      <c r="B247" s="349" t="s">
        <v>1019</v>
      </c>
      <c r="C247" s="350">
        <v>0</v>
      </c>
      <c r="D247" s="350">
        <v>0</v>
      </c>
      <c r="E247" s="350">
        <v>0</v>
      </c>
      <c r="F247" s="350">
        <v>0</v>
      </c>
      <c r="G247" s="350">
        <v>0</v>
      </c>
      <c r="H247" s="350">
        <v>0</v>
      </c>
      <c r="I247" s="350">
        <v>0</v>
      </c>
      <c r="J247" s="350">
        <v>1</v>
      </c>
      <c r="K247" s="349"/>
      <c r="L247" s="349" t="s">
        <v>1004</v>
      </c>
      <c r="M247" s="351"/>
      <c r="N247" s="351"/>
      <c r="O247" s="349" t="s">
        <v>1564</v>
      </c>
      <c r="P247" s="349" t="s">
        <v>1565</v>
      </c>
      <c r="Q247" s="349" t="s">
        <v>1566</v>
      </c>
      <c r="R247" s="349" t="s">
        <v>1567</v>
      </c>
      <c r="S247" s="349" t="s">
        <v>1568</v>
      </c>
      <c r="T247" s="351"/>
      <c r="U247" s="349" t="s">
        <v>1004</v>
      </c>
      <c r="V247" s="351"/>
      <c r="W247" s="351"/>
      <c r="X247" s="350"/>
    </row>
    <row r="248" spans="1:24" ht="171" x14ac:dyDescent="0.2">
      <c r="A248" s="349" t="s">
        <v>703</v>
      </c>
      <c r="B248" s="349" t="s">
        <v>973</v>
      </c>
      <c r="C248" s="350">
        <v>0</v>
      </c>
      <c r="D248" s="350">
        <v>0</v>
      </c>
      <c r="E248" s="350">
        <v>0</v>
      </c>
      <c r="F248" s="350">
        <v>0</v>
      </c>
      <c r="G248" s="350">
        <v>0</v>
      </c>
      <c r="H248" s="350">
        <v>0</v>
      </c>
      <c r="I248" s="350">
        <v>0</v>
      </c>
      <c r="J248" s="350">
        <v>1</v>
      </c>
      <c r="K248" s="349"/>
      <c r="L248" s="349" t="s">
        <v>1004</v>
      </c>
      <c r="M248" s="351"/>
      <c r="N248" s="351"/>
      <c r="O248" s="349" t="s">
        <v>1569</v>
      </c>
      <c r="P248" s="349" t="s">
        <v>1570</v>
      </c>
      <c r="Q248" s="349" t="s">
        <v>1571</v>
      </c>
      <c r="R248" s="349" t="s">
        <v>1567</v>
      </c>
      <c r="S248" s="349" t="s">
        <v>1572</v>
      </c>
      <c r="T248" s="349" t="s">
        <v>1573</v>
      </c>
      <c r="U248" s="349" t="s">
        <v>1004</v>
      </c>
      <c r="V248" s="351"/>
      <c r="W248" s="351"/>
      <c r="X248" s="350"/>
    </row>
    <row r="249" spans="1:24" ht="270.75" x14ac:dyDescent="0.2">
      <c r="A249" s="349" t="s">
        <v>704</v>
      </c>
      <c r="B249" s="349" t="s">
        <v>705</v>
      </c>
      <c r="C249" s="350">
        <v>0</v>
      </c>
      <c r="D249" s="350">
        <v>0</v>
      </c>
      <c r="E249" s="350">
        <v>0</v>
      </c>
      <c r="F249" s="350">
        <v>0</v>
      </c>
      <c r="G249" s="350">
        <v>0</v>
      </c>
      <c r="H249" s="350">
        <v>0</v>
      </c>
      <c r="I249" s="350">
        <v>0</v>
      </c>
      <c r="J249" s="350">
        <v>1</v>
      </c>
      <c r="K249" s="351"/>
      <c r="L249" s="349" t="s">
        <v>9</v>
      </c>
      <c r="M249" s="351"/>
      <c r="N249" s="351"/>
      <c r="O249" s="351"/>
      <c r="P249" s="349" t="s">
        <v>1574</v>
      </c>
      <c r="Q249" s="349" t="s">
        <v>1575</v>
      </c>
      <c r="R249" s="349" t="s">
        <v>1567</v>
      </c>
      <c r="S249" s="349" t="s">
        <v>1891</v>
      </c>
      <c r="T249" s="349" t="s">
        <v>1576</v>
      </c>
      <c r="U249" s="349" t="s">
        <v>40</v>
      </c>
      <c r="V249" s="351"/>
      <c r="W249" s="349" t="s">
        <v>75</v>
      </c>
      <c r="X249" s="350">
        <v>10</v>
      </c>
    </row>
    <row r="250" spans="1:24" ht="156.75" x14ac:dyDescent="0.2">
      <c r="A250" s="363" t="s">
        <v>706</v>
      </c>
      <c r="B250" s="363" t="s">
        <v>1435</v>
      </c>
      <c r="C250" s="350">
        <v>0</v>
      </c>
      <c r="D250" s="350">
        <v>0</v>
      </c>
      <c r="E250" s="350">
        <v>0</v>
      </c>
      <c r="F250" s="350">
        <v>0</v>
      </c>
      <c r="G250" s="350">
        <v>0</v>
      </c>
      <c r="H250" s="350">
        <v>0</v>
      </c>
      <c r="I250" s="350">
        <v>0</v>
      </c>
      <c r="J250" s="350">
        <v>1</v>
      </c>
      <c r="K250" s="351"/>
      <c r="L250" s="349" t="s">
        <v>9</v>
      </c>
      <c r="M250" s="351"/>
      <c r="N250" s="351"/>
      <c r="O250" s="349" t="s">
        <v>1577</v>
      </c>
      <c r="P250" s="349" t="s">
        <v>1578</v>
      </c>
      <c r="Q250" s="349" t="s">
        <v>1579</v>
      </c>
      <c r="R250" s="349" t="s">
        <v>1567</v>
      </c>
      <c r="S250" s="349" t="s">
        <v>1580</v>
      </c>
      <c r="T250" s="351"/>
      <c r="U250" s="349" t="s">
        <v>40</v>
      </c>
      <c r="V250" s="351"/>
      <c r="W250" s="349" t="s">
        <v>46</v>
      </c>
      <c r="X250" s="350">
        <v>20</v>
      </c>
    </row>
    <row r="251" spans="1:24" ht="327.75" x14ac:dyDescent="0.2">
      <c r="A251" s="349" t="s">
        <v>708</v>
      </c>
      <c r="B251" s="349" t="s">
        <v>1867</v>
      </c>
      <c r="C251" s="350">
        <v>0</v>
      </c>
      <c r="D251" s="350">
        <v>0</v>
      </c>
      <c r="E251" s="350">
        <v>0</v>
      </c>
      <c r="F251" s="350">
        <v>0</v>
      </c>
      <c r="G251" s="350">
        <v>0</v>
      </c>
      <c r="H251" s="350">
        <v>0</v>
      </c>
      <c r="I251" s="350">
        <v>0</v>
      </c>
      <c r="J251" s="350">
        <v>1</v>
      </c>
      <c r="K251" s="351"/>
      <c r="L251" s="349" t="s">
        <v>9</v>
      </c>
      <c r="M251" s="351"/>
      <c r="N251" s="351"/>
      <c r="O251" s="349" t="s">
        <v>1581</v>
      </c>
      <c r="P251" s="349" t="s">
        <v>1582</v>
      </c>
      <c r="Q251" s="349" t="s">
        <v>707</v>
      </c>
      <c r="R251" s="348" t="s">
        <v>1528</v>
      </c>
      <c r="S251" s="349" t="s">
        <v>1583</v>
      </c>
      <c r="T251" s="349" t="s">
        <v>1584</v>
      </c>
      <c r="U251" s="349" t="s">
        <v>40</v>
      </c>
      <c r="V251" s="351"/>
      <c r="W251" s="349" t="s">
        <v>41</v>
      </c>
      <c r="X251" s="350">
        <v>5</v>
      </c>
    </row>
    <row r="252" spans="1:24" ht="85.5" x14ac:dyDescent="0.2">
      <c r="A252" s="349" t="s">
        <v>709</v>
      </c>
      <c r="B252" s="349" t="s">
        <v>710</v>
      </c>
      <c r="C252" s="350">
        <v>0</v>
      </c>
      <c r="D252" s="350">
        <v>0</v>
      </c>
      <c r="E252" s="350">
        <v>0</v>
      </c>
      <c r="F252" s="350">
        <v>0</v>
      </c>
      <c r="G252" s="350">
        <v>0</v>
      </c>
      <c r="H252" s="350">
        <v>0</v>
      </c>
      <c r="I252" s="350">
        <v>0</v>
      </c>
      <c r="J252" s="350">
        <v>1</v>
      </c>
      <c r="K252" s="349"/>
      <c r="L252" s="349" t="s">
        <v>9</v>
      </c>
      <c r="M252" s="351"/>
      <c r="N252" s="351"/>
      <c r="O252" s="349" t="s">
        <v>1585</v>
      </c>
      <c r="P252" s="349" t="s">
        <v>429</v>
      </c>
      <c r="Q252" s="349" t="s">
        <v>1586</v>
      </c>
      <c r="R252" s="351"/>
      <c r="S252" s="349" t="s">
        <v>1587</v>
      </c>
      <c r="T252" s="349" t="s">
        <v>1588</v>
      </c>
      <c r="U252" s="349" t="s">
        <v>40</v>
      </c>
      <c r="V252" s="351"/>
      <c r="W252" s="351" t="s">
        <v>75</v>
      </c>
      <c r="X252" s="350">
        <v>10</v>
      </c>
    </row>
    <row r="253" spans="1:24" ht="71.25" x14ac:dyDescent="0.2">
      <c r="A253" s="349" t="s">
        <v>711</v>
      </c>
      <c r="B253" s="349" t="s">
        <v>712</v>
      </c>
      <c r="C253" s="350">
        <v>0</v>
      </c>
      <c r="D253" s="350">
        <v>0</v>
      </c>
      <c r="E253" s="350">
        <v>0</v>
      </c>
      <c r="F253" s="350">
        <v>0</v>
      </c>
      <c r="G253" s="350">
        <v>0</v>
      </c>
      <c r="H253" s="350">
        <v>0</v>
      </c>
      <c r="I253" s="350">
        <v>0</v>
      </c>
      <c r="J253" s="350">
        <v>1</v>
      </c>
      <c r="K253" s="351"/>
      <c r="L253" s="349" t="s">
        <v>9</v>
      </c>
      <c r="M253" s="351"/>
      <c r="N253" s="351"/>
      <c r="O253" s="349" t="s">
        <v>1589</v>
      </c>
      <c r="P253" s="349" t="s">
        <v>429</v>
      </c>
      <c r="Q253" s="349" t="s">
        <v>1590</v>
      </c>
      <c r="R253" s="351"/>
      <c r="S253" s="349" t="s">
        <v>1892</v>
      </c>
      <c r="T253" s="349" t="s">
        <v>1588</v>
      </c>
      <c r="U253" s="349" t="s">
        <v>40</v>
      </c>
      <c r="V253" s="351"/>
      <c r="W253" s="349" t="s">
        <v>41</v>
      </c>
      <c r="X253" s="350">
        <v>5</v>
      </c>
    </row>
    <row r="254" spans="1:24" ht="270.75" x14ac:dyDescent="0.2">
      <c r="A254" s="363" t="s">
        <v>713</v>
      </c>
      <c r="B254" s="363" t="s">
        <v>1475</v>
      </c>
      <c r="C254" s="350">
        <v>0</v>
      </c>
      <c r="D254" s="350">
        <v>0</v>
      </c>
      <c r="E254" s="350">
        <v>0</v>
      </c>
      <c r="F254" s="350">
        <v>0</v>
      </c>
      <c r="G254" s="350">
        <v>0</v>
      </c>
      <c r="H254" s="350">
        <v>0</v>
      </c>
      <c r="I254" s="350">
        <v>0</v>
      </c>
      <c r="J254" s="350">
        <v>1</v>
      </c>
      <c r="K254" s="349"/>
      <c r="L254" s="349" t="s">
        <v>9</v>
      </c>
      <c r="M254" s="351"/>
      <c r="N254" s="351"/>
      <c r="O254" s="353" t="s">
        <v>1591</v>
      </c>
      <c r="P254" s="353" t="s">
        <v>1591</v>
      </c>
      <c r="Q254" s="349" t="s">
        <v>1592</v>
      </c>
      <c r="R254" s="351"/>
      <c r="S254" s="349" t="s">
        <v>1593</v>
      </c>
      <c r="T254" s="349" t="s">
        <v>1594</v>
      </c>
      <c r="U254" s="349" t="s">
        <v>148</v>
      </c>
      <c r="V254" s="351"/>
      <c r="W254" s="349" t="s">
        <v>46</v>
      </c>
      <c r="X254" s="350">
        <v>20</v>
      </c>
    </row>
    <row r="255" spans="1:24" ht="327.75" x14ac:dyDescent="0.2">
      <c r="A255" s="363" t="s">
        <v>715</v>
      </c>
      <c r="B255" s="363" t="s">
        <v>1595</v>
      </c>
      <c r="C255" s="350">
        <v>0</v>
      </c>
      <c r="D255" s="350">
        <v>0</v>
      </c>
      <c r="E255" s="350">
        <v>0</v>
      </c>
      <c r="F255" s="350">
        <v>0</v>
      </c>
      <c r="G255" s="350">
        <v>0</v>
      </c>
      <c r="H255" s="350">
        <v>0</v>
      </c>
      <c r="I255" s="350">
        <v>0</v>
      </c>
      <c r="J255" s="350">
        <v>1</v>
      </c>
      <c r="K255" s="349"/>
      <c r="L255" s="349" t="s">
        <v>9</v>
      </c>
      <c r="M255" s="351"/>
      <c r="N255" s="351"/>
      <c r="O255" s="353" t="s">
        <v>1596</v>
      </c>
      <c r="P255" s="353" t="s">
        <v>1596</v>
      </c>
      <c r="Q255" s="349" t="s">
        <v>1597</v>
      </c>
      <c r="R255" s="351"/>
      <c r="S255" s="349" t="s">
        <v>1593</v>
      </c>
      <c r="T255" s="349" t="s">
        <v>1594</v>
      </c>
      <c r="U255" s="349" t="s">
        <v>148</v>
      </c>
      <c r="V255" s="351"/>
      <c r="W255" s="349" t="s">
        <v>46</v>
      </c>
      <c r="X255" s="350">
        <v>20</v>
      </c>
    </row>
    <row r="256" spans="1:24" ht="242.25" x14ac:dyDescent="0.2">
      <c r="A256" s="363" t="s">
        <v>717</v>
      </c>
      <c r="B256" s="363" t="s">
        <v>1020</v>
      </c>
      <c r="C256" s="350">
        <v>0</v>
      </c>
      <c r="D256" s="350">
        <v>0</v>
      </c>
      <c r="E256" s="350">
        <v>0</v>
      </c>
      <c r="F256" s="350">
        <v>0</v>
      </c>
      <c r="G256" s="350">
        <v>0</v>
      </c>
      <c r="H256" s="350">
        <v>0</v>
      </c>
      <c r="I256" s="350">
        <v>0</v>
      </c>
      <c r="J256" s="350">
        <v>1</v>
      </c>
      <c r="K256" s="349"/>
      <c r="L256" s="349" t="s">
        <v>9</v>
      </c>
      <c r="M256" s="351"/>
      <c r="N256" s="351"/>
      <c r="O256" s="353" t="s">
        <v>1598</v>
      </c>
      <c r="P256" s="353" t="s">
        <v>1598</v>
      </c>
      <c r="Q256" s="349" t="s">
        <v>1122</v>
      </c>
      <c r="R256" s="351"/>
      <c r="S256" s="351" t="s">
        <v>1819</v>
      </c>
      <c r="T256" s="351" t="s">
        <v>1820</v>
      </c>
      <c r="U256" s="349" t="s">
        <v>148</v>
      </c>
      <c r="V256" s="351"/>
      <c r="W256" s="349" t="s">
        <v>46</v>
      </c>
      <c r="X256" s="350">
        <v>20</v>
      </c>
    </row>
    <row r="257" spans="1:24" ht="171" x14ac:dyDescent="0.2">
      <c r="A257" s="349" t="s">
        <v>718</v>
      </c>
      <c r="B257" s="349" t="s">
        <v>1123</v>
      </c>
      <c r="C257" s="350">
        <v>0</v>
      </c>
      <c r="D257" s="350">
        <v>0</v>
      </c>
      <c r="E257" s="350">
        <v>0</v>
      </c>
      <c r="F257" s="350">
        <v>0</v>
      </c>
      <c r="G257" s="350">
        <v>0</v>
      </c>
      <c r="H257" s="350">
        <v>0</v>
      </c>
      <c r="I257" s="350">
        <v>0</v>
      </c>
      <c r="J257" s="350">
        <v>1</v>
      </c>
      <c r="K257" s="351"/>
      <c r="L257" s="349" t="s">
        <v>9</v>
      </c>
      <c r="M257" s="351"/>
      <c r="N257" s="351"/>
      <c r="O257" s="353" t="s">
        <v>1599</v>
      </c>
      <c r="P257" s="353" t="s">
        <v>1599</v>
      </c>
      <c r="Q257" s="353" t="s">
        <v>714</v>
      </c>
      <c r="R257" s="351"/>
      <c r="S257" s="351" t="s">
        <v>1821</v>
      </c>
      <c r="T257" s="351" t="s">
        <v>1822</v>
      </c>
      <c r="U257" s="349" t="s">
        <v>148</v>
      </c>
      <c r="V257" s="351"/>
      <c r="W257" s="349" t="s">
        <v>41</v>
      </c>
      <c r="X257" s="350">
        <v>5</v>
      </c>
    </row>
    <row r="258" spans="1:24" ht="128.25" x14ac:dyDescent="0.2">
      <c r="A258" s="349" t="s">
        <v>719</v>
      </c>
      <c r="B258" s="349" t="s">
        <v>972</v>
      </c>
      <c r="C258" s="350">
        <v>0</v>
      </c>
      <c r="D258" s="350">
        <v>0</v>
      </c>
      <c r="E258" s="350">
        <v>0</v>
      </c>
      <c r="F258" s="350">
        <v>0</v>
      </c>
      <c r="G258" s="350">
        <v>0</v>
      </c>
      <c r="H258" s="350">
        <v>0</v>
      </c>
      <c r="I258" s="350">
        <v>0</v>
      </c>
      <c r="J258" s="350">
        <v>1</v>
      </c>
      <c r="K258" s="351"/>
      <c r="L258" s="349" t="s">
        <v>9</v>
      </c>
      <c r="M258" s="351"/>
      <c r="N258" s="351"/>
      <c r="O258" s="353" t="s">
        <v>1600</v>
      </c>
      <c r="P258" s="353" t="s">
        <v>1600</v>
      </c>
      <c r="Q258" s="349" t="s">
        <v>1601</v>
      </c>
      <c r="R258" s="351"/>
      <c r="S258" s="349" t="s">
        <v>1602</v>
      </c>
      <c r="T258" s="351"/>
      <c r="U258" s="349" t="s">
        <v>148</v>
      </c>
      <c r="V258" s="351"/>
      <c r="W258" s="349" t="s">
        <v>41</v>
      </c>
      <c r="X258" s="350">
        <v>5</v>
      </c>
    </row>
    <row r="259" spans="1:24" ht="71.25" x14ac:dyDescent="0.2">
      <c r="A259" s="349" t="s">
        <v>720</v>
      </c>
      <c r="B259" s="349" t="s">
        <v>1124</v>
      </c>
      <c r="C259" s="350">
        <v>0</v>
      </c>
      <c r="D259" s="350">
        <v>0</v>
      </c>
      <c r="E259" s="350">
        <v>0</v>
      </c>
      <c r="F259" s="350">
        <v>0</v>
      </c>
      <c r="G259" s="350">
        <v>0</v>
      </c>
      <c r="H259" s="350">
        <v>0</v>
      </c>
      <c r="I259" s="350">
        <v>0</v>
      </c>
      <c r="J259" s="350">
        <v>1</v>
      </c>
      <c r="K259" s="351"/>
      <c r="L259" s="349" t="s">
        <v>9</v>
      </c>
      <c r="M259" s="351"/>
      <c r="N259" s="351"/>
      <c r="O259" s="353" t="s">
        <v>1603</v>
      </c>
      <c r="P259" s="353" t="s">
        <v>1603</v>
      </c>
      <c r="Q259" s="349" t="s">
        <v>722</v>
      </c>
      <c r="R259" s="351"/>
      <c r="S259" s="353" t="s">
        <v>1603</v>
      </c>
      <c r="T259" s="351"/>
      <c r="U259" s="349" t="s">
        <v>148</v>
      </c>
      <c r="V259" s="351"/>
      <c r="W259" s="349" t="s">
        <v>41</v>
      </c>
      <c r="X259" s="350">
        <v>5</v>
      </c>
    </row>
    <row r="260" spans="1:24" ht="71.25" x14ac:dyDescent="0.2">
      <c r="A260" s="349" t="s">
        <v>721</v>
      </c>
      <c r="B260" s="349" t="s">
        <v>1125</v>
      </c>
      <c r="C260" s="350">
        <v>0</v>
      </c>
      <c r="D260" s="350">
        <v>0</v>
      </c>
      <c r="E260" s="350">
        <v>0</v>
      </c>
      <c r="F260" s="350">
        <v>0</v>
      </c>
      <c r="G260" s="350">
        <v>0</v>
      </c>
      <c r="H260" s="350">
        <v>0</v>
      </c>
      <c r="I260" s="350">
        <v>0</v>
      </c>
      <c r="J260" s="350">
        <v>1</v>
      </c>
      <c r="K260" s="351"/>
      <c r="L260" s="349" t="s">
        <v>9</v>
      </c>
      <c r="M260" s="351"/>
      <c r="N260" s="351"/>
      <c r="O260" s="353" t="s">
        <v>1604</v>
      </c>
      <c r="P260" s="353" t="s">
        <v>1604</v>
      </c>
      <c r="Q260" s="349" t="s">
        <v>1126</v>
      </c>
      <c r="R260" s="351"/>
      <c r="S260" s="349" t="s">
        <v>1605</v>
      </c>
      <c r="T260" s="351"/>
      <c r="U260" s="349" t="s">
        <v>148</v>
      </c>
      <c r="V260" s="351"/>
      <c r="W260" s="349" t="s">
        <v>41</v>
      </c>
      <c r="X260" s="350">
        <v>5</v>
      </c>
    </row>
    <row r="261" spans="1:24" ht="71.25" x14ac:dyDescent="0.2">
      <c r="A261" s="349" t="s">
        <v>723</v>
      </c>
      <c r="B261" s="349" t="s">
        <v>716</v>
      </c>
      <c r="C261" s="350">
        <v>0</v>
      </c>
      <c r="D261" s="350">
        <v>0</v>
      </c>
      <c r="E261" s="350">
        <v>0</v>
      </c>
      <c r="F261" s="350">
        <v>0</v>
      </c>
      <c r="G261" s="350">
        <v>0</v>
      </c>
      <c r="H261" s="350">
        <v>0</v>
      </c>
      <c r="I261" s="350">
        <v>0</v>
      </c>
      <c r="J261" s="350">
        <v>1</v>
      </c>
      <c r="K261" s="349"/>
      <c r="L261" s="349" t="s">
        <v>1004</v>
      </c>
      <c r="M261" s="351"/>
      <c r="N261" s="351"/>
      <c r="O261" s="354"/>
      <c r="P261" s="349" t="s">
        <v>1606</v>
      </c>
      <c r="Q261" s="351"/>
      <c r="R261" s="351"/>
      <c r="S261" s="349" t="s">
        <v>1607</v>
      </c>
      <c r="T261" s="351"/>
      <c r="U261" s="349" t="s">
        <v>1004</v>
      </c>
      <c r="V261" s="351"/>
      <c r="W261" s="349"/>
      <c r="X261" s="350"/>
    </row>
    <row r="262" spans="1:24" ht="171" x14ac:dyDescent="0.2">
      <c r="A262" s="349" t="s">
        <v>724</v>
      </c>
      <c r="B262" s="349" t="s">
        <v>725</v>
      </c>
      <c r="C262" s="350">
        <v>0</v>
      </c>
      <c r="D262" s="350">
        <v>0</v>
      </c>
      <c r="E262" s="350">
        <v>0</v>
      </c>
      <c r="F262" s="350">
        <v>0</v>
      </c>
      <c r="G262" s="350">
        <v>0</v>
      </c>
      <c r="H262" s="350">
        <v>0</v>
      </c>
      <c r="I262" s="350">
        <v>0</v>
      </c>
      <c r="J262" s="350">
        <v>1</v>
      </c>
      <c r="K262" s="351"/>
      <c r="L262" s="349" t="s">
        <v>9</v>
      </c>
      <c r="M262" s="351"/>
      <c r="N262" s="351"/>
      <c r="O262" s="354"/>
      <c r="P262" s="349" t="s">
        <v>1608</v>
      </c>
      <c r="Q262" s="349" t="s">
        <v>726</v>
      </c>
      <c r="R262" s="351"/>
      <c r="S262" s="349" t="s">
        <v>1609</v>
      </c>
      <c r="T262" s="355" t="s">
        <v>1610</v>
      </c>
      <c r="U262" s="349" t="s">
        <v>40</v>
      </c>
      <c r="V262" s="351"/>
      <c r="W262" s="349" t="s">
        <v>41</v>
      </c>
      <c r="X262" s="350">
        <v>5</v>
      </c>
    </row>
    <row r="263" spans="1:24" ht="199.5" x14ac:dyDescent="0.2">
      <c r="A263" s="349" t="s">
        <v>727</v>
      </c>
      <c r="B263" s="349" t="s">
        <v>1127</v>
      </c>
      <c r="C263" s="350">
        <v>0</v>
      </c>
      <c r="D263" s="350">
        <v>0</v>
      </c>
      <c r="E263" s="350">
        <v>0</v>
      </c>
      <c r="F263" s="350">
        <v>0</v>
      </c>
      <c r="G263" s="350">
        <v>0</v>
      </c>
      <c r="H263" s="350">
        <v>0</v>
      </c>
      <c r="I263" s="350">
        <v>0</v>
      </c>
      <c r="J263" s="350">
        <v>1</v>
      </c>
      <c r="K263" s="351"/>
      <c r="L263" s="349" t="s">
        <v>9</v>
      </c>
      <c r="M263" s="351"/>
      <c r="N263" s="351"/>
      <c r="O263" s="349" t="s">
        <v>1611</v>
      </c>
      <c r="P263" s="349" t="s">
        <v>728</v>
      </c>
      <c r="Q263" s="349" t="s">
        <v>729</v>
      </c>
      <c r="R263" s="351"/>
      <c r="S263" s="349" t="s">
        <v>1612</v>
      </c>
      <c r="T263" s="351"/>
      <c r="U263" s="349" t="s">
        <v>40</v>
      </c>
      <c r="V263" s="351"/>
      <c r="W263" s="349" t="s">
        <v>41</v>
      </c>
      <c r="X263" s="350">
        <v>5</v>
      </c>
    </row>
    <row r="264" spans="1:24" ht="114" x14ac:dyDescent="0.2">
      <c r="A264" s="349" t="s">
        <v>730</v>
      </c>
      <c r="B264" s="349" t="s">
        <v>515</v>
      </c>
      <c r="C264" s="350">
        <v>0</v>
      </c>
      <c r="D264" s="350">
        <v>0</v>
      </c>
      <c r="E264" s="350">
        <v>0</v>
      </c>
      <c r="F264" s="350">
        <v>0</v>
      </c>
      <c r="G264" s="350">
        <v>0</v>
      </c>
      <c r="H264" s="350">
        <v>0</v>
      </c>
      <c r="I264" s="350">
        <v>0</v>
      </c>
      <c r="J264" s="350">
        <v>1</v>
      </c>
      <c r="K264" s="351"/>
      <c r="L264" s="349" t="s">
        <v>9</v>
      </c>
      <c r="M264" s="351"/>
      <c r="N264" s="351"/>
      <c r="O264" s="351"/>
      <c r="P264" s="349" t="s">
        <v>731</v>
      </c>
      <c r="Q264" s="349" t="s">
        <v>1613</v>
      </c>
      <c r="R264" s="351"/>
      <c r="S264" s="349" t="s">
        <v>1614</v>
      </c>
      <c r="T264" s="349" t="s">
        <v>1615</v>
      </c>
      <c r="U264" s="349" t="s">
        <v>40</v>
      </c>
      <c r="V264" s="351"/>
      <c r="W264" s="349" t="s">
        <v>75</v>
      </c>
      <c r="X264" s="350">
        <v>10</v>
      </c>
    </row>
    <row r="265" spans="1:24" ht="99.75" x14ac:dyDescent="0.2">
      <c r="A265" s="349" t="s">
        <v>732</v>
      </c>
      <c r="B265" s="349" t="s">
        <v>733</v>
      </c>
      <c r="C265" s="350">
        <v>0</v>
      </c>
      <c r="D265" s="350">
        <v>0</v>
      </c>
      <c r="E265" s="350">
        <v>0</v>
      </c>
      <c r="F265" s="350">
        <v>0</v>
      </c>
      <c r="G265" s="350">
        <v>0</v>
      </c>
      <c r="H265" s="350">
        <v>0</v>
      </c>
      <c r="I265" s="350">
        <v>0</v>
      </c>
      <c r="J265" s="350">
        <v>1</v>
      </c>
      <c r="K265" s="351"/>
      <c r="L265" s="349" t="s">
        <v>9</v>
      </c>
      <c r="M265" s="351"/>
      <c r="N265" s="351"/>
      <c r="O265" s="349" t="s">
        <v>1616</v>
      </c>
      <c r="P265" s="349" t="s">
        <v>1617</v>
      </c>
      <c r="Q265" s="351"/>
      <c r="R265" s="351"/>
      <c r="S265" s="349" t="s">
        <v>1618</v>
      </c>
      <c r="T265" s="349" t="s">
        <v>1893</v>
      </c>
      <c r="U265" s="349" t="s">
        <v>40</v>
      </c>
      <c r="V265" s="351"/>
      <c r="W265" s="349" t="s">
        <v>41</v>
      </c>
      <c r="X265" s="350">
        <v>5</v>
      </c>
    </row>
    <row r="266" spans="1:24" ht="114" x14ac:dyDescent="0.2">
      <c r="A266" s="349" t="s">
        <v>734</v>
      </c>
      <c r="B266" s="349" t="s">
        <v>735</v>
      </c>
      <c r="C266" s="350">
        <v>0</v>
      </c>
      <c r="D266" s="350">
        <v>0</v>
      </c>
      <c r="E266" s="350">
        <v>0</v>
      </c>
      <c r="F266" s="350">
        <v>0</v>
      </c>
      <c r="G266" s="350">
        <v>0</v>
      </c>
      <c r="H266" s="350">
        <v>0</v>
      </c>
      <c r="I266" s="350">
        <v>0</v>
      </c>
      <c r="J266" s="350">
        <v>1</v>
      </c>
      <c r="K266" s="351"/>
      <c r="L266" s="349" t="s">
        <v>9</v>
      </c>
      <c r="M266" s="351"/>
      <c r="N266" s="351"/>
      <c r="O266" s="349" t="s">
        <v>1619</v>
      </c>
      <c r="P266" s="349" t="s">
        <v>1620</v>
      </c>
      <c r="Q266" s="351"/>
      <c r="R266" s="351"/>
      <c r="S266" s="349" t="s">
        <v>1621</v>
      </c>
      <c r="T266" s="349" t="s">
        <v>1622</v>
      </c>
      <c r="U266" s="349" t="s">
        <v>40</v>
      </c>
      <c r="V266" s="351"/>
      <c r="W266" s="349" t="s">
        <v>41</v>
      </c>
      <c r="X266" s="350">
        <v>5</v>
      </c>
    </row>
    <row r="267" spans="1:24" ht="213.75" x14ac:dyDescent="0.2">
      <c r="A267" s="363" t="s">
        <v>736</v>
      </c>
      <c r="B267" s="363" t="s">
        <v>1021</v>
      </c>
      <c r="C267" s="350">
        <v>0</v>
      </c>
      <c r="D267" s="350">
        <v>0</v>
      </c>
      <c r="E267" s="350">
        <v>0</v>
      </c>
      <c r="F267" s="350">
        <v>0</v>
      </c>
      <c r="G267" s="350">
        <v>0</v>
      </c>
      <c r="H267" s="350">
        <v>0</v>
      </c>
      <c r="I267" s="350">
        <v>0</v>
      </c>
      <c r="J267" s="350">
        <v>1</v>
      </c>
      <c r="K267" s="351"/>
      <c r="L267" s="349" t="s">
        <v>9</v>
      </c>
      <c r="M267" s="351"/>
      <c r="N267" s="351"/>
      <c r="O267" s="349" t="s">
        <v>1623</v>
      </c>
      <c r="P267" s="349" t="s">
        <v>1624</v>
      </c>
      <c r="Q267" s="349" t="s">
        <v>1625</v>
      </c>
      <c r="R267" s="351"/>
      <c r="S267" s="349" t="s">
        <v>1626</v>
      </c>
      <c r="T267" s="351"/>
      <c r="U267" s="349" t="s">
        <v>40</v>
      </c>
      <c r="V267" s="351"/>
      <c r="W267" s="349" t="s">
        <v>46</v>
      </c>
      <c r="X267" s="350">
        <v>20</v>
      </c>
    </row>
    <row r="268" spans="1:24" ht="128.25" x14ac:dyDescent="0.2">
      <c r="A268" s="349" t="s">
        <v>737</v>
      </c>
      <c r="B268" s="349" t="s">
        <v>738</v>
      </c>
      <c r="C268" s="350">
        <v>0</v>
      </c>
      <c r="D268" s="350">
        <v>0</v>
      </c>
      <c r="E268" s="350">
        <v>0</v>
      </c>
      <c r="F268" s="350">
        <v>0</v>
      </c>
      <c r="G268" s="350">
        <v>0</v>
      </c>
      <c r="H268" s="350">
        <v>0</v>
      </c>
      <c r="I268" s="350">
        <v>0</v>
      </c>
      <c r="J268" s="350">
        <v>1</v>
      </c>
      <c r="K268" s="351"/>
      <c r="L268" s="349" t="s">
        <v>9</v>
      </c>
      <c r="M268" s="351"/>
      <c r="N268" s="351"/>
      <c r="O268" s="351"/>
      <c r="P268" s="349" t="s">
        <v>739</v>
      </c>
      <c r="Q268" s="349" t="s">
        <v>1627</v>
      </c>
      <c r="R268" s="351"/>
      <c r="S268" s="349" t="s">
        <v>1628</v>
      </c>
      <c r="T268" s="349" t="s">
        <v>1629</v>
      </c>
      <c r="U268" s="349" t="s">
        <v>40</v>
      </c>
      <c r="V268" s="351"/>
      <c r="W268" s="349" t="s">
        <v>41</v>
      </c>
      <c r="X268" s="350">
        <v>5</v>
      </c>
    </row>
    <row r="269" spans="1:24" ht="185.25" x14ac:dyDescent="0.2">
      <c r="A269" s="349" t="s">
        <v>740</v>
      </c>
      <c r="B269" s="349" t="s">
        <v>741</v>
      </c>
      <c r="C269" s="350">
        <v>0</v>
      </c>
      <c r="D269" s="350">
        <v>0</v>
      </c>
      <c r="E269" s="350">
        <v>0</v>
      </c>
      <c r="F269" s="350">
        <v>0</v>
      </c>
      <c r="G269" s="350">
        <v>0</v>
      </c>
      <c r="H269" s="350">
        <v>0</v>
      </c>
      <c r="I269" s="350">
        <v>0</v>
      </c>
      <c r="J269" s="350">
        <v>1</v>
      </c>
      <c r="K269" s="351"/>
      <c r="L269" s="349" t="s">
        <v>9</v>
      </c>
      <c r="M269" s="351"/>
      <c r="N269" s="351"/>
      <c r="O269" s="351"/>
      <c r="P269" s="349" t="s">
        <v>742</v>
      </c>
      <c r="Q269" s="349" t="s">
        <v>1625</v>
      </c>
      <c r="R269" s="348" t="s">
        <v>1528</v>
      </c>
      <c r="S269" s="349" t="s">
        <v>1630</v>
      </c>
      <c r="T269" s="349" t="s">
        <v>1631</v>
      </c>
      <c r="U269" s="349" t="s">
        <v>40</v>
      </c>
      <c r="V269" s="351"/>
      <c r="W269" s="349" t="s">
        <v>41</v>
      </c>
      <c r="X269" s="350">
        <v>5</v>
      </c>
    </row>
    <row r="270" spans="1:24" ht="199.5" x14ac:dyDescent="0.2">
      <c r="A270" s="349" t="s">
        <v>743</v>
      </c>
      <c r="B270" s="349" t="s">
        <v>974</v>
      </c>
      <c r="C270" s="350">
        <v>0</v>
      </c>
      <c r="D270" s="350">
        <v>0</v>
      </c>
      <c r="E270" s="350">
        <v>0</v>
      </c>
      <c r="F270" s="350">
        <v>0</v>
      </c>
      <c r="G270" s="350">
        <v>0</v>
      </c>
      <c r="H270" s="350">
        <v>0</v>
      </c>
      <c r="I270" s="350">
        <v>0</v>
      </c>
      <c r="J270" s="350">
        <v>1</v>
      </c>
      <c r="K270" s="351"/>
      <c r="L270" s="349" t="s">
        <v>9</v>
      </c>
      <c r="M270" s="351"/>
      <c r="N270" s="351"/>
      <c r="O270" s="349" t="s">
        <v>1632</v>
      </c>
      <c r="P270" s="349" t="s">
        <v>1632</v>
      </c>
      <c r="Q270" s="349" t="s">
        <v>1633</v>
      </c>
      <c r="R270" s="351"/>
      <c r="S270" s="349" t="s">
        <v>1634</v>
      </c>
      <c r="T270" s="349" t="s">
        <v>1635</v>
      </c>
      <c r="U270" s="349" t="s">
        <v>148</v>
      </c>
      <c r="V270" s="351"/>
      <c r="W270" s="349" t="s">
        <v>41</v>
      </c>
      <c r="X270" s="350">
        <v>5</v>
      </c>
    </row>
    <row r="271" spans="1:24" ht="199.5" x14ac:dyDescent="0.2">
      <c r="A271" s="349" t="s">
        <v>744</v>
      </c>
      <c r="B271" s="349" t="s">
        <v>745</v>
      </c>
      <c r="C271" s="350">
        <v>0</v>
      </c>
      <c r="D271" s="350">
        <v>0</v>
      </c>
      <c r="E271" s="350">
        <v>0</v>
      </c>
      <c r="F271" s="350">
        <v>0</v>
      </c>
      <c r="G271" s="350">
        <v>0</v>
      </c>
      <c r="H271" s="350">
        <v>0</v>
      </c>
      <c r="I271" s="350">
        <v>0</v>
      </c>
      <c r="J271" s="350">
        <v>1</v>
      </c>
      <c r="K271" s="351"/>
      <c r="L271" s="349" t="s">
        <v>9</v>
      </c>
      <c r="M271" s="351"/>
      <c r="N271" s="351"/>
      <c r="O271" s="351"/>
      <c r="P271" s="349" t="s">
        <v>1636</v>
      </c>
      <c r="Q271" s="349" t="s">
        <v>1637</v>
      </c>
      <c r="R271" s="349" t="s">
        <v>1567</v>
      </c>
      <c r="S271" s="349" t="s">
        <v>1638</v>
      </c>
      <c r="T271" s="354"/>
      <c r="U271" s="349" t="s">
        <v>40</v>
      </c>
      <c r="V271" s="351"/>
      <c r="W271" s="349" t="s">
        <v>41</v>
      </c>
      <c r="X271" s="350">
        <v>5</v>
      </c>
    </row>
    <row r="272" spans="1:24" ht="128.25" x14ac:dyDescent="0.2">
      <c r="A272" s="349" t="s">
        <v>746</v>
      </c>
      <c r="B272" s="349" t="s">
        <v>747</v>
      </c>
      <c r="C272" s="350">
        <v>0</v>
      </c>
      <c r="D272" s="350">
        <v>0</v>
      </c>
      <c r="E272" s="350">
        <v>0</v>
      </c>
      <c r="F272" s="350">
        <v>0</v>
      </c>
      <c r="G272" s="350">
        <v>0</v>
      </c>
      <c r="H272" s="350">
        <v>0</v>
      </c>
      <c r="I272" s="350">
        <v>0</v>
      </c>
      <c r="J272" s="350">
        <v>1</v>
      </c>
      <c r="K272" s="351"/>
      <c r="L272" s="349" t="s">
        <v>9</v>
      </c>
      <c r="M272" s="351"/>
      <c r="N272" s="351"/>
      <c r="O272" s="354"/>
      <c r="P272" s="349" t="s">
        <v>1639</v>
      </c>
      <c r="Q272" s="349" t="s">
        <v>748</v>
      </c>
      <c r="R272" s="351"/>
      <c r="S272" s="349" t="s">
        <v>1894</v>
      </c>
      <c r="T272" s="351"/>
      <c r="U272" s="349" t="s">
        <v>40</v>
      </c>
      <c r="V272" s="351"/>
      <c r="W272" s="349" t="s">
        <v>41</v>
      </c>
      <c r="X272" s="350">
        <v>5</v>
      </c>
    </row>
    <row r="273" spans="1:24" ht="89.25" x14ac:dyDescent="0.2">
      <c r="A273" s="363" t="s">
        <v>749</v>
      </c>
      <c r="B273" s="363" t="s">
        <v>1640</v>
      </c>
      <c r="C273" s="350">
        <v>0</v>
      </c>
      <c r="D273" s="350">
        <v>0</v>
      </c>
      <c r="E273" s="350">
        <v>0</v>
      </c>
      <c r="F273" s="350">
        <v>0</v>
      </c>
      <c r="G273" s="350">
        <v>0</v>
      </c>
      <c r="H273" s="350">
        <v>0</v>
      </c>
      <c r="I273" s="350">
        <v>0</v>
      </c>
      <c r="J273" s="350">
        <v>1</v>
      </c>
      <c r="K273" s="351"/>
      <c r="L273" s="349" t="s">
        <v>9</v>
      </c>
      <c r="M273" s="351"/>
      <c r="N273" s="351"/>
      <c r="O273" s="351"/>
      <c r="P273" s="349" t="s">
        <v>1641</v>
      </c>
      <c r="Q273" s="349" t="s">
        <v>1642</v>
      </c>
      <c r="R273" s="351"/>
      <c r="S273" s="351" t="s">
        <v>1823</v>
      </c>
      <c r="T273" s="351" t="s">
        <v>1824</v>
      </c>
      <c r="U273" s="349" t="s">
        <v>148</v>
      </c>
      <c r="V273" s="351"/>
      <c r="W273" s="349" t="s">
        <v>46</v>
      </c>
      <c r="X273" s="350">
        <v>20</v>
      </c>
    </row>
    <row r="274" spans="1:24" ht="114" x14ac:dyDescent="0.2">
      <c r="A274" s="349" t="s">
        <v>750</v>
      </c>
      <c r="B274" s="349" t="s">
        <v>751</v>
      </c>
      <c r="C274" s="350">
        <v>0</v>
      </c>
      <c r="D274" s="350">
        <v>0</v>
      </c>
      <c r="E274" s="350">
        <v>0</v>
      </c>
      <c r="F274" s="350">
        <v>0</v>
      </c>
      <c r="G274" s="350">
        <v>0</v>
      </c>
      <c r="H274" s="350">
        <v>0</v>
      </c>
      <c r="I274" s="350">
        <v>0</v>
      </c>
      <c r="J274" s="350">
        <v>1</v>
      </c>
      <c r="K274" s="351"/>
      <c r="L274" s="349" t="s">
        <v>9</v>
      </c>
      <c r="M274" s="351"/>
      <c r="N274" s="351"/>
      <c r="O274" s="349" t="s">
        <v>1643</v>
      </c>
      <c r="P274" s="349" t="s">
        <v>1644</v>
      </c>
      <c r="Q274" s="349" t="s">
        <v>1645</v>
      </c>
      <c r="R274" s="351"/>
      <c r="S274" s="349" t="s">
        <v>1646</v>
      </c>
      <c r="T274" s="351"/>
      <c r="U274" s="349" t="s">
        <v>40</v>
      </c>
      <c r="V274" s="351"/>
      <c r="W274" s="349" t="s">
        <v>41</v>
      </c>
      <c r="X274" s="350">
        <v>5</v>
      </c>
    </row>
    <row r="275" spans="1:24" ht="99.75" x14ac:dyDescent="0.2">
      <c r="A275" s="349" t="s">
        <v>752</v>
      </c>
      <c r="B275" s="349" t="s">
        <v>753</v>
      </c>
      <c r="C275" s="350">
        <v>0</v>
      </c>
      <c r="D275" s="350">
        <v>0</v>
      </c>
      <c r="E275" s="350">
        <v>0</v>
      </c>
      <c r="F275" s="350">
        <v>0</v>
      </c>
      <c r="G275" s="350">
        <v>0</v>
      </c>
      <c r="H275" s="350">
        <v>0</v>
      </c>
      <c r="I275" s="350">
        <v>0</v>
      </c>
      <c r="J275" s="350">
        <v>1</v>
      </c>
      <c r="K275" s="349"/>
      <c r="L275" s="349" t="s">
        <v>9</v>
      </c>
      <c r="M275" s="351"/>
      <c r="N275" s="351"/>
      <c r="O275" s="349" t="s">
        <v>1647</v>
      </c>
      <c r="P275" s="351"/>
      <c r="Q275" s="349" t="s">
        <v>754</v>
      </c>
      <c r="R275" s="351"/>
      <c r="S275" s="349" t="s">
        <v>1648</v>
      </c>
      <c r="T275" s="349" t="s">
        <v>1649</v>
      </c>
      <c r="U275" s="349" t="s">
        <v>148</v>
      </c>
      <c r="V275" s="351"/>
      <c r="W275" s="349" t="s">
        <v>75</v>
      </c>
      <c r="X275" s="350">
        <v>10</v>
      </c>
    </row>
    <row r="276" spans="1:24" ht="71.25" x14ac:dyDescent="0.2">
      <c r="A276" s="349" t="s">
        <v>755</v>
      </c>
      <c r="B276" s="349" t="s">
        <v>1128</v>
      </c>
      <c r="C276" s="350">
        <v>0</v>
      </c>
      <c r="D276" s="350">
        <v>0</v>
      </c>
      <c r="E276" s="350">
        <v>0</v>
      </c>
      <c r="F276" s="350">
        <v>0</v>
      </c>
      <c r="G276" s="350">
        <v>0</v>
      </c>
      <c r="H276" s="350">
        <v>0</v>
      </c>
      <c r="I276" s="350">
        <v>0</v>
      </c>
      <c r="J276" s="350">
        <v>1</v>
      </c>
      <c r="K276" s="349"/>
      <c r="L276" s="349" t="s">
        <v>9</v>
      </c>
      <c r="M276" s="351"/>
      <c r="N276" s="351"/>
      <c r="O276" s="349" t="s">
        <v>1650</v>
      </c>
      <c r="P276" s="349" t="s">
        <v>1644</v>
      </c>
      <c r="Q276" s="349" t="s">
        <v>756</v>
      </c>
      <c r="R276" s="351"/>
      <c r="S276" s="349" t="s">
        <v>1651</v>
      </c>
      <c r="T276" s="351"/>
      <c r="U276" s="349" t="s">
        <v>40</v>
      </c>
      <c r="V276" s="351"/>
      <c r="W276" s="349" t="s">
        <v>75</v>
      </c>
      <c r="X276" s="350">
        <v>10</v>
      </c>
    </row>
    <row r="277" spans="1:24" ht="57" x14ac:dyDescent="0.2">
      <c r="A277" s="349" t="s">
        <v>757</v>
      </c>
      <c r="B277" s="349" t="s">
        <v>758</v>
      </c>
      <c r="C277" s="350">
        <v>0</v>
      </c>
      <c r="D277" s="350">
        <v>0</v>
      </c>
      <c r="E277" s="350">
        <v>0</v>
      </c>
      <c r="F277" s="350">
        <v>0</v>
      </c>
      <c r="G277" s="350">
        <v>0</v>
      </c>
      <c r="H277" s="350">
        <v>0</v>
      </c>
      <c r="I277" s="350">
        <v>0</v>
      </c>
      <c r="J277" s="350">
        <v>1</v>
      </c>
      <c r="K277" s="349"/>
      <c r="L277" s="349" t="s">
        <v>9</v>
      </c>
      <c r="M277" s="351"/>
      <c r="N277" s="351"/>
      <c r="O277" s="349" t="s">
        <v>1652</v>
      </c>
      <c r="P277" s="349" t="s">
        <v>1644</v>
      </c>
      <c r="Q277" s="351"/>
      <c r="R277" s="351"/>
      <c r="S277" s="349" t="s">
        <v>1653</v>
      </c>
      <c r="T277" s="351"/>
      <c r="U277" s="349" t="s">
        <v>40</v>
      </c>
      <c r="V277" s="351"/>
      <c r="W277" s="349" t="s">
        <v>75</v>
      </c>
      <c r="X277" s="350">
        <v>10</v>
      </c>
    </row>
    <row r="278" spans="1:24" ht="99.75" x14ac:dyDescent="0.2">
      <c r="A278" s="349" t="s">
        <v>759</v>
      </c>
      <c r="B278" s="349" t="s">
        <v>760</v>
      </c>
      <c r="C278" s="350">
        <v>0</v>
      </c>
      <c r="D278" s="350">
        <v>0</v>
      </c>
      <c r="E278" s="350">
        <v>0</v>
      </c>
      <c r="F278" s="350">
        <v>0</v>
      </c>
      <c r="G278" s="350">
        <v>0</v>
      </c>
      <c r="H278" s="350">
        <v>0</v>
      </c>
      <c r="I278" s="350">
        <v>0</v>
      </c>
      <c r="J278" s="350">
        <v>1</v>
      </c>
      <c r="K278" s="349"/>
      <c r="L278" s="349" t="s">
        <v>9</v>
      </c>
      <c r="M278" s="351"/>
      <c r="N278" s="351"/>
      <c r="O278" s="349" t="s">
        <v>1654</v>
      </c>
      <c r="P278" s="349" t="s">
        <v>1654</v>
      </c>
      <c r="Q278" s="349" t="s">
        <v>761</v>
      </c>
      <c r="R278" s="351"/>
      <c r="S278" s="349" t="s">
        <v>1655</v>
      </c>
      <c r="T278" s="349" t="s">
        <v>1656</v>
      </c>
      <c r="U278" s="349" t="s">
        <v>148</v>
      </c>
      <c r="V278" s="351"/>
      <c r="W278" s="349" t="s">
        <v>75</v>
      </c>
      <c r="X278" s="350">
        <v>10</v>
      </c>
    </row>
    <row r="279" spans="1:24" ht="57" x14ac:dyDescent="0.2">
      <c r="A279" s="349" t="s">
        <v>762</v>
      </c>
      <c r="B279" s="349" t="s">
        <v>763</v>
      </c>
      <c r="C279" s="350">
        <v>0</v>
      </c>
      <c r="D279" s="350">
        <v>0</v>
      </c>
      <c r="E279" s="350">
        <v>0</v>
      </c>
      <c r="F279" s="350">
        <v>0</v>
      </c>
      <c r="G279" s="350">
        <v>0</v>
      </c>
      <c r="H279" s="350">
        <v>0</v>
      </c>
      <c r="I279" s="350">
        <v>0</v>
      </c>
      <c r="J279" s="350">
        <v>1</v>
      </c>
      <c r="K279" s="349"/>
      <c r="L279" s="349" t="s">
        <v>9</v>
      </c>
      <c r="M279" s="351"/>
      <c r="N279" s="351"/>
      <c r="O279" s="349" t="s">
        <v>1657</v>
      </c>
      <c r="P279" s="349" t="s">
        <v>1644</v>
      </c>
      <c r="Q279" s="351"/>
      <c r="R279" s="348" t="s">
        <v>1528</v>
      </c>
      <c r="S279" s="349" t="s">
        <v>1658</v>
      </c>
      <c r="T279" s="351"/>
      <c r="U279" s="349" t="s">
        <v>40</v>
      </c>
      <c r="V279" s="351"/>
      <c r="W279" s="349" t="s">
        <v>75</v>
      </c>
      <c r="X279" s="350">
        <v>10</v>
      </c>
    </row>
    <row r="280" spans="1:24" ht="89.25" x14ac:dyDescent="0.2">
      <c r="A280" s="349" t="s">
        <v>1035</v>
      </c>
      <c r="B280" s="349" t="s">
        <v>1868</v>
      </c>
      <c r="C280" s="350">
        <v>0</v>
      </c>
      <c r="D280" s="350">
        <v>0</v>
      </c>
      <c r="E280" s="350">
        <v>0</v>
      </c>
      <c r="F280" s="350">
        <v>0</v>
      </c>
      <c r="G280" s="350">
        <v>0</v>
      </c>
      <c r="H280" s="350">
        <v>0</v>
      </c>
      <c r="I280" s="350">
        <v>0</v>
      </c>
      <c r="J280" s="350">
        <v>1</v>
      </c>
      <c r="K280" s="351"/>
      <c r="L280" s="349" t="s">
        <v>9</v>
      </c>
      <c r="M280" s="351"/>
      <c r="N280" s="351"/>
      <c r="O280" s="351"/>
      <c r="P280" s="349" t="s">
        <v>1659</v>
      </c>
      <c r="Q280" s="349" t="s">
        <v>1660</v>
      </c>
      <c r="R280" s="351"/>
      <c r="S280" s="351" t="s">
        <v>1825</v>
      </c>
      <c r="T280" s="351" t="s">
        <v>1826</v>
      </c>
      <c r="U280" s="349" t="s">
        <v>40</v>
      </c>
      <c r="V280" s="351"/>
      <c r="W280" s="349" t="s">
        <v>75</v>
      </c>
      <c r="X280" s="350">
        <v>10</v>
      </c>
    </row>
    <row r="281" spans="1:24" ht="89.25" x14ac:dyDescent="0.2">
      <c r="A281" s="349" t="s">
        <v>1036</v>
      </c>
      <c r="B281" s="349" t="s">
        <v>764</v>
      </c>
      <c r="C281" s="350">
        <v>0</v>
      </c>
      <c r="D281" s="350">
        <v>0</v>
      </c>
      <c r="E281" s="350">
        <v>0</v>
      </c>
      <c r="F281" s="350">
        <v>0</v>
      </c>
      <c r="G281" s="350">
        <v>0</v>
      </c>
      <c r="H281" s="350">
        <v>0</v>
      </c>
      <c r="I281" s="350">
        <v>0</v>
      </c>
      <c r="J281" s="350">
        <v>1</v>
      </c>
      <c r="K281" s="351"/>
      <c r="L281" s="349" t="s">
        <v>9</v>
      </c>
      <c r="M281" s="351"/>
      <c r="N281" s="351"/>
      <c r="O281" s="351"/>
      <c r="P281" s="349" t="s">
        <v>1644</v>
      </c>
      <c r="Q281" s="349" t="s">
        <v>1661</v>
      </c>
      <c r="R281" s="351"/>
      <c r="S281" s="351" t="s">
        <v>1827</v>
      </c>
      <c r="T281" s="349" t="s">
        <v>1662</v>
      </c>
      <c r="U281" s="349" t="s">
        <v>40</v>
      </c>
      <c r="V281" s="351"/>
      <c r="W281" s="349" t="s">
        <v>75</v>
      </c>
      <c r="X281" s="350">
        <v>10</v>
      </c>
    </row>
    <row r="282" spans="1:24" ht="89.25" x14ac:dyDescent="0.2">
      <c r="A282" s="349" t="s">
        <v>1037</v>
      </c>
      <c r="B282" s="349" t="s">
        <v>765</v>
      </c>
      <c r="C282" s="350">
        <v>0</v>
      </c>
      <c r="D282" s="350">
        <v>0</v>
      </c>
      <c r="E282" s="350">
        <v>0</v>
      </c>
      <c r="F282" s="350">
        <v>0</v>
      </c>
      <c r="G282" s="350">
        <v>0</v>
      </c>
      <c r="H282" s="350">
        <v>0</v>
      </c>
      <c r="I282" s="350">
        <v>0</v>
      </c>
      <c r="J282" s="350">
        <v>1</v>
      </c>
      <c r="K282" s="351"/>
      <c r="L282" s="349" t="s">
        <v>9</v>
      </c>
      <c r="M282" s="351"/>
      <c r="N282" s="351"/>
      <c r="O282" s="351"/>
      <c r="P282" s="349" t="s">
        <v>1644</v>
      </c>
      <c r="Q282" s="349" t="s">
        <v>1660</v>
      </c>
      <c r="R282" s="356" t="s">
        <v>1848</v>
      </c>
      <c r="S282" s="351" t="s">
        <v>1828</v>
      </c>
      <c r="T282" s="351" t="s">
        <v>1829</v>
      </c>
      <c r="U282" s="349" t="s">
        <v>40</v>
      </c>
      <c r="V282" s="351"/>
      <c r="W282" s="349" t="s">
        <v>75</v>
      </c>
      <c r="X282" s="350">
        <v>10</v>
      </c>
    </row>
    <row r="283" spans="1:24" ht="142.5" x14ac:dyDescent="0.2">
      <c r="A283" s="349" t="s">
        <v>1038</v>
      </c>
      <c r="B283" s="349" t="s">
        <v>1476</v>
      </c>
      <c r="C283" s="350">
        <v>0</v>
      </c>
      <c r="D283" s="350">
        <v>0</v>
      </c>
      <c r="E283" s="350">
        <v>0</v>
      </c>
      <c r="F283" s="350">
        <v>0</v>
      </c>
      <c r="G283" s="350">
        <v>0</v>
      </c>
      <c r="H283" s="350">
        <v>0</v>
      </c>
      <c r="I283" s="350">
        <v>0</v>
      </c>
      <c r="J283" s="350">
        <v>1</v>
      </c>
      <c r="K283" s="351"/>
      <c r="L283" s="349" t="s">
        <v>9</v>
      </c>
      <c r="M283" s="351"/>
      <c r="N283" s="351"/>
      <c r="O283" s="349" t="s">
        <v>1663</v>
      </c>
      <c r="P283" s="349" t="s">
        <v>1644</v>
      </c>
      <c r="Q283" s="349" t="s">
        <v>1664</v>
      </c>
      <c r="R283" s="356" t="s">
        <v>1849</v>
      </c>
      <c r="S283" s="349" t="s">
        <v>1895</v>
      </c>
      <c r="T283" s="351"/>
      <c r="U283" s="349" t="s">
        <v>40</v>
      </c>
      <c r="V283" s="351"/>
      <c r="W283" s="349" t="s">
        <v>75</v>
      </c>
      <c r="X283" s="350">
        <v>10</v>
      </c>
    </row>
    <row r="284" spans="1:24" ht="102" x14ac:dyDescent="0.2">
      <c r="A284" s="349" t="s">
        <v>1039</v>
      </c>
      <c r="B284" s="349" t="s">
        <v>766</v>
      </c>
      <c r="C284" s="350">
        <v>0</v>
      </c>
      <c r="D284" s="350">
        <v>0</v>
      </c>
      <c r="E284" s="350">
        <v>0</v>
      </c>
      <c r="F284" s="350">
        <v>0</v>
      </c>
      <c r="G284" s="350">
        <v>0</v>
      </c>
      <c r="H284" s="350">
        <v>0</v>
      </c>
      <c r="I284" s="350">
        <v>0</v>
      </c>
      <c r="J284" s="350">
        <v>1</v>
      </c>
      <c r="K284" s="351"/>
      <c r="L284" s="349" t="s">
        <v>9</v>
      </c>
      <c r="M284" s="351"/>
      <c r="N284" s="351"/>
      <c r="O284" s="351"/>
      <c r="P284" s="349" t="s">
        <v>1644</v>
      </c>
      <c r="Q284" s="349" t="s">
        <v>1660</v>
      </c>
      <c r="R284" s="356" t="s">
        <v>1850</v>
      </c>
      <c r="S284" s="351" t="s">
        <v>1830</v>
      </c>
      <c r="T284" s="351" t="s">
        <v>1831</v>
      </c>
      <c r="U284" s="349" t="s">
        <v>40</v>
      </c>
      <c r="V284" s="351"/>
      <c r="W284" s="349" t="s">
        <v>75</v>
      </c>
      <c r="X284" s="350">
        <v>10</v>
      </c>
    </row>
    <row r="285" spans="1:24" ht="114" x14ac:dyDescent="0.2">
      <c r="A285" s="349" t="s">
        <v>1040</v>
      </c>
      <c r="B285" s="349" t="s">
        <v>767</v>
      </c>
      <c r="C285" s="350">
        <v>0</v>
      </c>
      <c r="D285" s="350">
        <v>0</v>
      </c>
      <c r="E285" s="350">
        <v>0</v>
      </c>
      <c r="F285" s="350">
        <v>0</v>
      </c>
      <c r="G285" s="350">
        <v>0</v>
      </c>
      <c r="H285" s="350">
        <v>0</v>
      </c>
      <c r="I285" s="350">
        <v>0</v>
      </c>
      <c r="J285" s="350">
        <v>1</v>
      </c>
      <c r="K285" s="351"/>
      <c r="L285" s="349" t="s">
        <v>9</v>
      </c>
      <c r="M285" s="351"/>
      <c r="N285" s="351"/>
      <c r="O285" s="351"/>
      <c r="P285" s="349" t="s">
        <v>1665</v>
      </c>
      <c r="Q285" s="354"/>
      <c r="R285" s="356" t="s">
        <v>1851</v>
      </c>
      <c r="S285" s="349" t="s">
        <v>1666</v>
      </c>
      <c r="T285" s="351"/>
      <c r="U285" s="349" t="s">
        <v>40</v>
      </c>
      <c r="V285" s="351"/>
      <c r="W285" s="349" t="s">
        <v>75</v>
      </c>
      <c r="X285" s="350">
        <v>10</v>
      </c>
    </row>
    <row r="286" spans="1:24" ht="213.75" x14ac:dyDescent="0.2">
      <c r="A286" s="349" t="s">
        <v>1041</v>
      </c>
      <c r="B286" s="349" t="s">
        <v>1129</v>
      </c>
      <c r="C286" s="350">
        <v>0</v>
      </c>
      <c r="D286" s="350">
        <v>0</v>
      </c>
      <c r="E286" s="350">
        <v>0</v>
      </c>
      <c r="F286" s="350">
        <v>0</v>
      </c>
      <c r="G286" s="350">
        <v>0</v>
      </c>
      <c r="H286" s="350">
        <v>0</v>
      </c>
      <c r="I286" s="350">
        <v>0</v>
      </c>
      <c r="J286" s="350">
        <v>1</v>
      </c>
      <c r="K286" s="351"/>
      <c r="L286" s="349" t="s">
        <v>9</v>
      </c>
      <c r="M286" s="351"/>
      <c r="N286" s="351"/>
      <c r="O286" s="349" t="s">
        <v>1896</v>
      </c>
      <c r="P286" s="349" t="s">
        <v>1896</v>
      </c>
      <c r="Q286" s="349" t="s">
        <v>1896</v>
      </c>
      <c r="R286" s="356" t="s">
        <v>1852</v>
      </c>
      <c r="S286" s="349" t="s">
        <v>1897</v>
      </c>
      <c r="T286" s="351"/>
      <c r="U286" s="349" t="s">
        <v>40</v>
      </c>
      <c r="V286" s="351"/>
      <c r="W286" s="349" t="s">
        <v>75</v>
      </c>
      <c r="X286" s="350">
        <v>10</v>
      </c>
    </row>
    <row r="287" spans="1:24" ht="89.25" x14ac:dyDescent="0.2">
      <c r="A287" s="349" t="s">
        <v>1042</v>
      </c>
      <c r="B287" s="349" t="s">
        <v>1477</v>
      </c>
      <c r="C287" s="350">
        <v>0</v>
      </c>
      <c r="D287" s="350">
        <v>0</v>
      </c>
      <c r="E287" s="350">
        <v>0</v>
      </c>
      <c r="F287" s="350">
        <v>0</v>
      </c>
      <c r="G287" s="350">
        <v>0</v>
      </c>
      <c r="H287" s="350">
        <v>0</v>
      </c>
      <c r="I287" s="350">
        <v>0</v>
      </c>
      <c r="J287" s="350">
        <v>1</v>
      </c>
      <c r="K287" s="351"/>
      <c r="L287" s="349" t="s">
        <v>9</v>
      </c>
      <c r="M287" s="351"/>
      <c r="N287" s="351"/>
      <c r="O287" s="351"/>
      <c r="P287" s="351"/>
      <c r="Q287" s="351"/>
      <c r="R287" s="356" t="s">
        <v>1853</v>
      </c>
      <c r="S287" s="351" t="s">
        <v>1832</v>
      </c>
      <c r="T287" s="351" t="s">
        <v>1833</v>
      </c>
      <c r="U287" s="349" t="s">
        <v>40</v>
      </c>
      <c r="V287" s="351"/>
      <c r="W287" s="349" t="s">
        <v>75</v>
      </c>
      <c r="X287" s="350">
        <v>10</v>
      </c>
    </row>
    <row r="288" spans="1:24" ht="85.5" x14ac:dyDescent="0.2">
      <c r="A288" s="349" t="s">
        <v>1043</v>
      </c>
      <c r="B288" s="349" t="s">
        <v>768</v>
      </c>
      <c r="C288" s="350">
        <v>0</v>
      </c>
      <c r="D288" s="350">
        <v>0</v>
      </c>
      <c r="E288" s="350">
        <v>0</v>
      </c>
      <c r="F288" s="350">
        <v>0</v>
      </c>
      <c r="G288" s="350">
        <v>0</v>
      </c>
      <c r="H288" s="350">
        <v>0</v>
      </c>
      <c r="I288" s="350">
        <v>0</v>
      </c>
      <c r="J288" s="350">
        <v>1</v>
      </c>
      <c r="K288" s="351"/>
      <c r="L288" s="349" t="s">
        <v>9</v>
      </c>
      <c r="M288" s="351"/>
      <c r="N288" s="351"/>
      <c r="O288" s="351"/>
      <c r="P288" s="351"/>
      <c r="Q288" s="351"/>
      <c r="R288" s="356" t="s">
        <v>1854</v>
      </c>
      <c r="S288" s="351" t="s">
        <v>1834</v>
      </c>
      <c r="T288" s="351" t="s">
        <v>1835</v>
      </c>
      <c r="U288" s="349" t="s">
        <v>40</v>
      </c>
      <c r="V288" s="351"/>
      <c r="W288" s="349" t="s">
        <v>75</v>
      </c>
      <c r="X288" s="350">
        <v>10</v>
      </c>
    </row>
    <row r="289" spans="1:24" ht="102" x14ac:dyDescent="0.2">
      <c r="A289" s="349" t="s">
        <v>1044</v>
      </c>
      <c r="B289" s="349" t="s">
        <v>1478</v>
      </c>
      <c r="C289" s="350">
        <v>0</v>
      </c>
      <c r="D289" s="350">
        <v>0</v>
      </c>
      <c r="E289" s="350">
        <v>0</v>
      </c>
      <c r="F289" s="350">
        <v>0</v>
      </c>
      <c r="G289" s="350">
        <v>0</v>
      </c>
      <c r="H289" s="350">
        <v>0</v>
      </c>
      <c r="I289" s="350">
        <v>0</v>
      </c>
      <c r="J289" s="350">
        <v>1</v>
      </c>
      <c r="K289" s="351"/>
      <c r="L289" s="349" t="s">
        <v>9</v>
      </c>
      <c r="M289" s="351"/>
      <c r="N289" s="351"/>
      <c r="O289" s="351"/>
      <c r="P289" s="351"/>
      <c r="Q289" s="351"/>
      <c r="R289" s="356" t="s">
        <v>1855</v>
      </c>
      <c r="S289" s="351" t="s">
        <v>1836</v>
      </c>
      <c r="T289" s="351" t="s">
        <v>1837</v>
      </c>
      <c r="U289" s="349" t="s">
        <v>40</v>
      </c>
      <c r="V289" s="351"/>
      <c r="W289" s="349" t="s">
        <v>75</v>
      </c>
      <c r="X289" s="350">
        <v>10</v>
      </c>
    </row>
    <row r="290" spans="1:24" ht="102" x14ac:dyDescent="0.2">
      <c r="A290" s="349" t="s">
        <v>1045</v>
      </c>
      <c r="B290" s="349" t="s">
        <v>769</v>
      </c>
      <c r="C290" s="350">
        <v>0</v>
      </c>
      <c r="D290" s="350">
        <v>0</v>
      </c>
      <c r="E290" s="350">
        <v>0</v>
      </c>
      <c r="F290" s="350">
        <v>0</v>
      </c>
      <c r="G290" s="350">
        <v>0</v>
      </c>
      <c r="H290" s="350">
        <v>0</v>
      </c>
      <c r="I290" s="350">
        <v>0</v>
      </c>
      <c r="J290" s="350">
        <v>1</v>
      </c>
      <c r="K290" s="351"/>
      <c r="L290" s="349" t="s">
        <v>9</v>
      </c>
      <c r="M290" s="351"/>
      <c r="N290" s="351"/>
      <c r="O290" s="354"/>
      <c r="P290" s="351"/>
      <c r="Q290" s="349" t="s">
        <v>1667</v>
      </c>
      <c r="R290" s="356" t="s">
        <v>1856</v>
      </c>
      <c r="S290" s="351" t="s">
        <v>1838</v>
      </c>
      <c r="T290" s="351" t="s">
        <v>1839</v>
      </c>
      <c r="U290" s="349" t="s">
        <v>40</v>
      </c>
      <c r="V290" s="351"/>
      <c r="W290" s="349" t="s">
        <v>75</v>
      </c>
      <c r="X290" s="350">
        <v>10</v>
      </c>
    </row>
    <row r="291" spans="1:24" ht="102" x14ac:dyDescent="0.2">
      <c r="A291" s="349" t="s">
        <v>1046</v>
      </c>
      <c r="B291" s="349" t="s">
        <v>770</v>
      </c>
      <c r="C291" s="350">
        <v>0</v>
      </c>
      <c r="D291" s="350">
        <v>0</v>
      </c>
      <c r="E291" s="350">
        <v>0</v>
      </c>
      <c r="F291" s="350">
        <v>0</v>
      </c>
      <c r="G291" s="350">
        <v>0</v>
      </c>
      <c r="H291" s="350">
        <v>0</v>
      </c>
      <c r="I291" s="350">
        <v>0</v>
      </c>
      <c r="J291" s="350">
        <v>1</v>
      </c>
      <c r="K291" s="351"/>
      <c r="L291" s="349" t="s">
        <v>9</v>
      </c>
      <c r="M291" s="351"/>
      <c r="N291" s="351"/>
      <c r="O291" s="351"/>
      <c r="P291" s="351"/>
      <c r="Q291" s="349" t="s">
        <v>1668</v>
      </c>
      <c r="R291" s="356" t="s">
        <v>1857</v>
      </c>
      <c r="S291" s="351" t="s">
        <v>1840</v>
      </c>
      <c r="T291" s="351" t="s">
        <v>1841</v>
      </c>
      <c r="U291" s="349" t="s">
        <v>40</v>
      </c>
      <c r="V291" s="351"/>
      <c r="W291" s="349" t="s">
        <v>75</v>
      </c>
      <c r="X291" s="350">
        <v>10</v>
      </c>
    </row>
    <row r="292" spans="1:24" ht="114.75" x14ac:dyDescent="0.2">
      <c r="A292" s="349" t="s">
        <v>1047</v>
      </c>
      <c r="B292" s="349" t="s">
        <v>1669</v>
      </c>
      <c r="C292" s="350">
        <v>0</v>
      </c>
      <c r="D292" s="350">
        <v>0</v>
      </c>
      <c r="E292" s="350">
        <v>0</v>
      </c>
      <c r="F292" s="350">
        <v>0</v>
      </c>
      <c r="G292" s="350">
        <v>0</v>
      </c>
      <c r="H292" s="350">
        <v>0</v>
      </c>
      <c r="I292" s="350">
        <v>0</v>
      </c>
      <c r="J292" s="350">
        <v>1</v>
      </c>
      <c r="K292" s="351"/>
      <c r="L292" s="349" t="s">
        <v>9</v>
      </c>
      <c r="M292" s="351"/>
      <c r="N292" s="351"/>
      <c r="O292" s="351"/>
      <c r="P292" s="351"/>
      <c r="Q292" s="349" t="s">
        <v>1670</v>
      </c>
      <c r="R292" s="356" t="s">
        <v>1858</v>
      </c>
      <c r="S292" s="351" t="s">
        <v>1842</v>
      </c>
      <c r="T292" s="351" t="s">
        <v>1843</v>
      </c>
      <c r="U292" s="349" t="s">
        <v>148</v>
      </c>
      <c r="V292" s="351"/>
      <c r="W292" s="349" t="s">
        <v>75</v>
      </c>
      <c r="X292" s="350">
        <v>10</v>
      </c>
    </row>
    <row r="293" spans="1:24" ht="242.25" x14ac:dyDescent="0.2">
      <c r="A293" s="349" t="s">
        <v>1048</v>
      </c>
      <c r="B293" s="349" t="s">
        <v>771</v>
      </c>
      <c r="C293" s="350">
        <v>0</v>
      </c>
      <c r="D293" s="350">
        <v>0</v>
      </c>
      <c r="E293" s="350">
        <v>0</v>
      </c>
      <c r="F293" s="350">
        <v>0</v>
      </c>
      <c r="G293" s="350">
        <v>0</v>
      </c>
      <c r="H293" s="350">
        <v>0</v>
      </c>
      <c r="I293" s="350">
        <v>0</v>
      </c>
      <c r="J293" s="350">
        <v>1</v>
      </c>
      <c r="K293" s="351"/>
      <c r="L293" s="349" t="s">
        <v>9</v>
      </c>
      <c r="M293" s="351"/>
      <c r="N293" s="351"/>
      <c r="O293" s="349" t="s">
        <v>1671</v>
      </c>
      <c r="P293" s="349" t="s">
        <v>1671</v>
      </c>
      <c r="Q293" s="349" t="s">
        <v>1672</v>
      </c>
      <c r="R293" s="356" t="s">
        <v>1859</v>
      </c>
      <c r="S293" s="349" t="s">
        <v>1898</v>
      </c>
      <c r="T293" s="349" t="s">
        <v>1899</v>
      </c>
      <c r="U293" s="349" t="s">
        <v>40</v>
      </c>
      <c r="V293" s="351"/>
      <c r="W293" s="349" t="s">
        <v>75</v>
      </c>
      <c r="X293" s="350">
        <v>10</v>
      </c>
    </row>
    <row r="294" spans="1:24" ht="185.25" x14ac:dyDescent="0.2">
      <c r="A294" s="349" t="s">
        <v>1049</v>
      </c>
      <c r="B294" s="349" t="s">
        <v>772</v>
      </c>
      <c r="C294" s="350">
        <v>0</v>
      </c>
      <c r="D294" s="350">
        <v>0</v>
      </c>
      <c r="E294" s="350">
        <v>0</v>
      </c>
      <c r="F294" s="350">
        <v>0</v>
      </c>
      <c r="G294" s="350">
        <v>0</v>
      </c>
      <c r="H294" s="350">
        <v>0</v>
      </c>
      <c r="I294" s="350">
        <v>0</v>
      </c>
      <c r="J294" s="350">
        <v>1</v>
      </c>
      <c r="K294" s="351"/>
      <c r="L294" s="349" t="s">
        <v>9</v>
      </c>
      <c r="M294" s="351"/>
      <c r="N294" s="351"/>
      <c r="O294" s="351"/>
      <c r="P294" s="351"/>
      <c r="Q294" s="349" t="s">
        <v>1673</v>
      </c>
      <c r="R294" s="351"/>
      <c r="S294" s="349" t="s">
        <v>1674</v>
      </c>
      <c r="T294" s="351"/>
      <c r="U294" s="349" t="s">
        <v>40</v>
      </c>
      <c r="V294" s="351"/>
      <c r="W294" s="349" t="s">
        <v>75</v>
      </c>
      <c r="X294" s="350">
        <v>10</v>
      </c>
    </row>
    <row r="295" spans="1:24" ht="142.5" x14ac:dyDescent="0.2">
      <c r="A295" s="349" t="s">
        <v>1050</v>
      </c>
      <c r="B295" s="349" t="s">
        <v>1130</v>
      </c>
      <c r="C295" s="350">
        <v>0</v>
      </c>
      <c r="D295" s="350">
        <v>0</v>
      </c>
      <c r="E295" s="350">
        <v>0</v>
      </c>
      <c r="F295" s="350">
        <v>0</v>
      </c>
      <c r="G295" s="350">
        <v>0</v>
      </c>
      <c r="H295" s="350">
        <v>0</v>
      </c>
      <c r="I295" s="350">
        <v>0</v>
      </c>
      <c r="J295" s="350">
        <v>1</v>
      </c>
      <c r="K295" s="349"/>
      <c r="L295" s="349" t="s">
        <v>9</v>
      </c>
      <c r="M295" s="351"/>
      <c r="N295" s="349" t="s">
        <v>1372</v>
      </c>
      <c r="O295" s="354"/>
      <c r="P295" s="349" t="s">
        <v>1675</v>
      </c>
      <c r="Q295" s="349" t="s">
        <v>1676</v>
      </c>
      <c r="R295" s="348" t="s">
        <v>1528</v>
      </c>
      <c r="S295" s="351" t="s">
        <v>1844</v>
      </c>
      <c r="T295" s="349" t="s">
        <v>1677</v>
      </c>
      <c r="U295" s="349" t="s">
        <v>148</v>
      </c>
      <c r="V295" s="351"/>
      <c r="W295" s="349" t="s">
        <v>75</v>
      </c>
      <c r="X295" s="350">
        <v>10</v>
      </c>
    </row>
    <row r="296" spans="1:24" ht="128.25" x14ac:dyDescent="0.2">
      <c r="A296" s="363" t="s">
        <v>1051</v>
      </c>
      <c r="B296" s="363" t="s">
        <v>1525</v>
      </c>
      <c r="C296" s="350">
        <v>0</v>
      </c>
      <c r="D296" s="350">
        <v>0</v>
      </c>
      <c r="E296" s="350">
        <v>0</v>
      </c>
      <c r="F296" s="350">
        <v>0</v>
      </c>
      <c r="G296" s="350">
        <v>0</v>
      </c>
      <c r="H296" s="350">
        <v>0</v>
      </c>
      <c r="I296" s="350">
        <v>0</v>
      </c>
      <c r="J296" s="350">
        <v>1</v>
      </c>
      <c r="K296" s="351"/>
      <c r="L296" s="349" t="s">
        <v>9</v>
      </c>
      <c r="M296" s="351"/>
      <c r="N296" s="349" t="s">
        <v>1372</v>
      </c>
      <c r="O296" s="351"/>
      <c r="P296" s="349" t="s">
        <v>1678</v>
      </c>
      <c r="Q296" s="349" t="s">
        <v>1679</v>
      </c>
      <c r="R296" s="348" t="s">
        <v>1528</v>
      </c>
      <c r="S296" s="349" t="s">
        <v>1680</v>
      </c>
      <c r="T296" s="349" t="s">
        <v>1681</v>
      </c>
      <c r="U296" s="349" t="s">
        <v>148</v>
      </c>
      <c r="V296" s="351"/>
      <c r="W296" s="349" t="s">
        <v>46</v>
      </c>
      <c r="X296" s="350">
        <v>20</v>
      </c>
    </row>
    <row r="297" spans="1:24" ht="114" x14ac:dyDescent="0.2">
      <c r="A297" s="363" t="s">
        <v>773</v>
      </c>
      <c r="B297" s="363" t="s">
        <v>1131</v>
      </c>
      <c r="C297" s="350">
        <v>0</v>
      </c>
      <c r="D297" s="350">
        <v>0</v>
      </c>
      <c r="E297" s="350">
        <v>0</v>
      </c>
      <c r="F297" s="350">
        <v>0</v>
      </c>
      <c r="G297" s="350">
        <v>0</v>
      </c>
      <c r="H297" s="350">
        <v>0</v>
      </c>
      <c r="I297" s="350">
        <v>0</v>
      </c>
      <c r="J297" s="350">
        <v>1</v>
      </c>
      <c r="K297" s="351"/>
      <c r="L297" s="349" t="s">
        <v>9</v>
      </c>
      <c r="M297" s="351"/>
      <c r="N297" s="349" t="s">
        <v>1372</v>
      </c>
      <c r="O297" s="351"/>
      <c r="P297" s="349" t="s">
        <v>1682</v>
      </c>
      <c r="Q297" s="349" t="s">
        <v>1683</v>
      </c>
      <c r="R297" s="348" t="s">
        <v>1528</v>
      </c>
      <c r="S297" s="349" t="s">
        <v>1684</v>
      </c>
      <c r="T297" s="349" t="s">
        <v>1685</v>
      </c>
      <c r="U297" s="349" t="s">
        <v>40</v>
      </c>
      <c r="V297" s="351"/>
      <c r="W297" s="349" t="s">
        <v>46</v>
      </c>
      <c r="X297" s="350">
        <v>20</v>
      </c>
    </row>
    <row r="298" spans="1:24" ht="114" x14ac:dyDescent="0.2">
      <c r="A298" s="349" t="s">
        <v>775</v>
      </c>
      <c r="B298" s="349" t="s">
        <v>1132</v>
      </c>
      <c r="C298" s="350">
        <v>0</v>
      </c>
      <c r="D298" s="350">
        <v>0</v>
      </c>
      <c r="E298" s="350">
        <v>0</v>
      </c>
      <c r="F298" s="350">
        <v>0</v>
      </c>
      <c r="G298" s="350">
        <v>0</v>
      </c>
      <c r="H298" s="350">
        <v>0</v>
      </c>
      <c r="I298" s="350">
        <v>0</v>
      </c>
      <c r="J298" s="350">
        <v>1</v>
      </c>
      <c r="K298" s="349"/>
      <c r="L298" s="349" t="s">
        <v>9</v>
      </c>
      <c r="M298" s="351"/>
      <c r="N298" s="349" t="s">
        <v>1372</v>
      </c>
      <c r="O298" s="351"/>
      <c r="P298" s="349" t="s">
        <v>1686</v>
      </c>
      <c r="Q298" s="349" t="s">
        <v>1687</v>
      </c>
      <c r="R298" s="348" t="s">
        <v>1528</v>
      </c>
      <c r="S298" s="349" t="s">
        <v>1688</v>
      </c>
      <c r="T298" s="349" t="s">
        <v>1689</v>
      </c>
      <c r="U298" s="349" t="s">
        <v>148</v>
      </c>
      <c r="V298" s="351"/>
      <c r="W298" s="349" t="s">
        <v>75</v>
      </c>
      <c r="X298" s="350">
        <v>10</v>
      </c>
    </row>
    <row r="299" spans="1:24" ht="114" x14ac:dyDescent="0.2">
      <c r="A299" s="349" t="s">
        <v>776</v>
      </c>
      <c r="B299" s="349" t="s">
        <v>774</v>
      </c>
      <c r="C299" s="350">
        <v>0</v>
      </c>
      <c r="D299" s="350">
        <v>0</v>
      </c>
      <c r="E299" s="350">
        <v>0</v>
      </c>
      <c r="F299" s="350">
        <v>0</v>
      </c>
      <c r="G299" s="350">
        <v>0</v>
      </c>
      <c r="H299" s="350">
        <v>0</v>
      </c>
      <c r="I299" s="350">
        <v>0</v>
      </c>
      <c r="J299" s="350">
        <v>1</v>
      </c>
      <c r="K299" s="349"/>
      <c r="L299" s="349" t="s">
        <v>9</v>
      </c>
      <c r="M299" s="351"/>
      <c r="N299" s="349" t="s">
        <v>1372</v>
      </c>
      <c r="O299" s="351"/>
      <c r="P299" s="349" t="s">
        <v>1690</v>
      </c>
      <c r="Q299" s="349" t="s">
        <v>1690</v>
      </c>
      <c r="R299" s="348" t="s">
        <v>1528</v>
      </c>
      <c r="S299" s="349" t="s">
        <v>1691</v>
      </c>
      <c r="T299" s="349" t="s">
        <v>1692</v>
      </c>
      <c r="U299" s="349" t="s">
        <v>40</v>
      </c>
      <c r="V299" s="351"/>
      <c r="W299" s="349" t="s">
        <v>41</v>
      </c>
      <c r="X299" s="350">
        <v>5</v>
      </c>
    </row>
    <row r="300" spans="1:24" ht="156.75" x14ac:dyDescent="0.2">
      <c r="A300" s="349" t="s">
        <v>778</v>
      </c>
      <c r="B300" s="349" t="s">
        <v>777</v>
      </c>
      <c r="C300" s="350">
        <v>0</v>
      </c>
      <c r="D300" s="350">
        <v>0</v>
      </c>
      <c r="E300" s="350">
        <v>0</v>
      </c>
      <c r="F300" s="350">
        <v>0</v>
      </c>
      <c r="G300" s="350">
        <v>0</v>
      </c>
      <c r="H300" s="350">
        <v>0</v>
      </c>
      <c r="I300" s="350">
        <v>0</v>
      </c>
      <c r="J300" s="350">
        <v>1</v>
      </c>
      <c r="K300" s="349"/>
      <c r="L300" s="349" t="s">
        <v>9</v>
      </c>
      <c r="M300" s="351"/>
      <c r="N300" s="349" t="s">
        <v>1372</v>
      </c>
      <c r="O300" s="349" t="s">
        <v>1693</v>
      </c>
      <c r="P300" s="349" t="s">
        <v>1693</v>
      </c>
      <c r="Q300" s="349" t="s">
        <v>1693</v>
      </c>
      <c r="R300" s="348" t="s">
        <v>1528</v>
      </c>
      <c r="S300" s="349" t="s">
        <v>1694</v>
      </c>
      <c r="T300" s="351"/>
      <c r="U300" s="349" t="s">
        <v>148</v>
      </c>
      <c r="V300" s="351"/>
      <c r="W300" s="349" t="s">
        <v>41</v>
      </c>
      <c r="X300" s="350">
        <v>5</v>
      </c>
    </row>
    <row r="301" spans="1:24" ht="213.75" x14ac:dyDescent="0.2">
      <c r="A301" s="349" t="s">
        <v>779</v>
      </c>
      <c r="B301" s="349" t="s">
        <v>1133</v>
      </c>
      <c r="C301" s="350">
        <v>0</v>
      </c>
      <c r="D301" s="350">
        <v>0</v>
      </c>
      <c r="E301" s="350">
        <v>0</v>
      </c>
      <c r="F301" s="350">
        <v>0</v>
      </c>
      <c r="G301" s="350">
        <v>0</v>
      </c>
      <c r="H301" s="350">
        <v>0</v>
      </c>
      <c r="I301" s="350">
        <v>0</v>
      </c>
      <c r="J301" s="350">
        <v>1</v>
      </c>
      <c r="K301" s="349"/>
      <c r="L301" s="349" t="s">
        <v>9</v>
      </c>
      <c r="M301" s="351"/>
      <c r="N301" s="349" t="s">
        <v>1372</v>
      </c>
      <c r="O301" s="351"/>
      <c r="P301" s="349" t="s">
        <v>1644</v>
      </c>
      <c r="Q301" s="349" t="s">
        <v>1695</v>
      </c>
      <c r="R301" s="348" t="s">
        <v>1528</v>
      </c>
      <c r="S301" s="353" t="s">
        <v>1696</v>
      </c>
      <c r="T301" s="351"/>
      <c r="U301" s="349" t="s">
        <v>40</v>
      </c>
      <c r="V301" s="351"/>
      <c r="W301" s="349" t="s">
        <v>41</v>
      </c>
      <c r="X301" s="350">
        <v>5</v>
      </c>
    </row>
    <row r="302" spans="1:24" ht="89.25" x14ac:dyDescent="0.2">
      <c r="A302" s="349" t="s">
        <v>780</v>
      </c>
      <c r="B302" s="349" t="s">
        <v>781</v>
      </c>
      <c r="C302" s="350">
        <v>0</v>
      </c>
      <c r="D302" s="350">
        <v>0</v>
      </c>
      <c r="E302" s="350">
        <v>0</v>
      </c>
      <c r="F302" s="350">
        <v>0</v>
      </c>
      <c r="G302" s="350">
        <v>0</v>
      </c>
      <c r="H302" s="350">
        <v>0</v>
      </c>
      <c r="I302" s="350">
        <v>0</v>
      </c>
      <c r="J302" s="350">
        <v>1</v>
      </c>
      <c r="K302" s="349"/>
      <c r="L302" s="349" t="s">
        <v>9</v>
      </c>
      <c r="M302" s="351"/>
      <c r="N302" s="349" t="s">
        <v>1372</v>
      </c>
      <c r="O302" s="351"/>
      <c r="P302" s="349" t="s">
        <v>1644</v>
      </c>
      <c r="Q302" s="349" t="s">
        <v>1697</v>
      </c>
      <c r="R302" s="348" t="s">
        <v>1528</v>
      </c>
      <c r="S302" s="351" t="s">
        <v>1845</v>
      </c>
      <c r="T302" s="351" t="s">
        <v>1846</v>
      </c>
      <c r="U302" s="349" t="s">
        <v>40</v>
      </c>
      <c r="V302" s="351"/>
      <c r="W302" s="349" t="s">
        <v>41</v>
      </c>
      <c r="X302" s="350">
        <v>5</v>
      </c>
    </row>
    <row r="303" spans="1:24" ht="114" x14ac:dyDescent="0.2">
      <c r="A303" s="225" t="s">
        <v>782</v>
      </c>
      <c r="B303" s="348" t="s">
        <v>1192</v>
      </c>
      <c r="C303" s="348">
        <v>0</v>
      </c>
      <c r="D303" s="348">
        <v>0</v>
      </c>
      <c r="E303" s="348">
        <v>0</v>
      </c>
      <c r="F303" s="348">
        <v>0</v>
      </c>
      <c r="G303" s="348">
        <v>0</v>
      </c>
      <c r="H303" s="348">
        <v>0</v>
      </c>
      <c r="I303" s="348">
        <v>1</v>
      </c>
      <c r="J303" s="348">
        <v>0</v>
      </c>
      <c r="K303" s="348" t="s">
        <v>22</v>
      </c>
      <c r="L303" s="348" t="s">
        <v>1004</v>
      </c>
      <c r="M303" s="348"/>
      <c r="N303" s="348" t="s">
        <v>1372</v>
      </c>
      <c r="O303" s="348" t="s">
        <v>1704</v>
      </c>
      <c r="P303" s="348" t="s">
        <v>1706</v>
      </c>
      <c r="Q303" s="348" t="s">
        <v>1705</v>
      </c>
      <c r="S303" s="348"/>
      <c r="T303" s="348"/>
      <c r="U303" s="348" t="s">
        <v>1004</v>
      </c>
      <c r="V303" s="348" t="s">
        <v>975</v>
      </c>
      <c r="W303" s="348"/>
      <c r="X303" s="348"/>
    </row>
    <row r="304" spans="1:24" ht="99.75" x14ac:dyDescent="0.2">
      <c r="A304" s="225" t="s">
        <v>783</v>
      </c>
      <c r="B304" s="348" t="s">
        <v>1193</v>
      </c>
      <c r="C304" s="348">
        <v>0</v>
      </c>
      <c r="D304" s="348">
        <v>0</v>
      </c>
      <c r="E304" s="348">
        <v>0</v>
      </c>
      <c r="F304" s="348">
        <v>0</v>
      </c>
      <c r="G304" s="348">
        <v>0</v>
      </c>
      <c r="H304" s="348">
        <v>0</v>
      </c>
      <c r="I304" s="348">
        <v>1</v>
      </c>
      <c r="J304" s="348">
        <v>0</v>
      </c>
      <c r="K304" s="348" t="s">
        <v>22</v>
      </c>
      <c r="L304" s="348" t="s">
        <v>1004</v>
      </c>
      <c r="M304" s="348"/>
      <c r="N304" s="348" t="s">
        <v>1372</v>
      </c>
      <c r="O304" s="348" t="s">
        <v>1707</v>
      </c>
      <c r="P304" s="348" t="s">
        <v>1709</v>
      </c>
      <c r="Q304" s="348" t="s">
        <v>1708</v>
      </c>
      <c r="S304" s="348"/>
      <c r="T304" s="348"/>
      <c r="U304" s="348" t="s">
        <v>1004</v>
      </c>
      <c r="V304" s="348" t="s">
        <v>975</v>
      </c>
      <c r="W304" s="348"/>
      <c r="X304" s="348"/>
    </row>
    <row r="305" spans="1:24" ht="114" x14ac:dyDescent="0.2">
      <c r="A305" s="362" t="s">
        <v>784</v>
      </c>
      <c r="B305" s="361" t="s">
        <v>1436</v>
      </c>
      <c r="C305" s="348">
        <v>0</v>
      </c>
      <c r="D305" s="348">
        <v>0</v>
      </c>
      <c r="E305" s="348">
        <v>0</v>
      </c>
      <c r="F305" s="348">
        <v>0</v>
      </c>
      <c r="G305" s="348">
        <v>0</v>
      </c>
      <c r="H305" s="348">
        <v>0</v>
      </c>
      <c r="I305" s="348">
        <v>1</v>
      </c>
      <c r="J305" s="348">
        <v>0</v>
      </c>
      <c r="K305" s="348"/>
      <c r="L305" s="348" t="s">
        <v>8</v>
      </c>
      <c r="M305" s="348"/>
      <c r="N305" s="348" t="s">
        <v>1372</v>
      </c>
      <c r="O305" s="348" t="s">
        <v>1710</v>
      </c>
      <c r="P305" s="348" t="s">
        <v>1712</v>
      </c>
      <c r="Q305" s="348" t="s">
        <v>1711</v>
      </c>
      <c r="R305" s="348"/>
      <c r="S305" s="348" t="s">
        <v>1713</v>
      </c>
      <c r="T305" s="348" t="s">
        <v>1714</v>
      </c>
      <c r="U305" s="348" t="s">
        <v>40</v>
      </c>
      <c r="V305" s="348" t="s">
        <v>975</v>
      </c>
      <c r="W305" s="348" t="s">
        <v>46</v>
      </c>
      <c r="X305" s="348">
        <f t="shared" ref="X305:X317" si="4">IF($W305="Critical Importance",20,IF($W305="Minor Importance",5,10))</f>
        <v>20</v>
      </c>
    </row>
    <row r="306" spans="1:24" ht="85.5" x14ac:dyDescent="0.2">
      <c r="A306" s="362" t="s">
        <v>785</v>
      </c>
      <c r="B306" s="361" t="s">
        <v>1194</v>
      </c>
      <c r="C306" s="348">
        <v>0</v>
      </c>
      <c r="D306" s="348">
        <v>0</v>
      </c>
      <c r="E306" s="348">
        <v>0</v>
      </c>
      <c r="F306" s="348">
        <v>0</v>
      </c>
      <c r="G306" s="348">
        <v>0</v>
      </c>
      <c r="H306" s="348">
        <v>0</v>
      </c>
      <c r="I306" s="348">
        <v>1</v>
      </c>
      <c r="J306" s="348">
        <v>0</v>
      </c>
      <c r="K306" s="348"/>
      <c r="L306" s="348" t="s">
        <v>8</v>
      </c>
      <c r="M306" s="348"/>
      <c r="N306" s="348" t="s">
        <v>1372</v>
      </c>
      <c r="O306" s="348"/>
      <c r="P306" s="348" t="s">
        <v>1716</v>
      </c>
      <c r="Q306" s="348" t="s">
        <v>1715</v>
      </c>
      <c r="R306" s="348" t="s">
        <v>1847</v>
      </c>
      <c r="S306" s="348" t="s">
        <v>1717</v>
      </c>
      <c r="T306" s="348" t="s">
        <v>1718</v>
      </c>
      <c r="U306" s="348" t="s">
        <v>40</v>
      </c>
      <c r="V306" s="348" t="s">
        <v>975</v>
      </c>
      <c r="W306" s="348" t="s">
        <v>46</v>
      </c>
      <c r="X306" s="348">
        <f t="shared" si="4"/>
        <v>20</v>
      </c>
    </row>
    <row r="307" spans="1:24" ht="128.25" x14ac:dyDescent="0.2">
      <c r="A307" s="362" t="s">
        <v>786</v>
      </c>
      <c r="B307" s="361" t="s">
        <v>1022</v>
      </c>
      <c r="C307" s="348">
        <v>0</v>
      </c>
      <c r="D307" s="348">
        <v>0</v>
      </c>
      <c r="E307" s="348">
        <v>0</v>
      </c>
      <c r="F307" s="348">
        <v>0</v>
      </c>
      <c r="G307" s="348">
        <v>0</v>
      </c>
      <c r="H307" s="348">
        <v>0</v>
      </c>
      <c r="I307" s="348">
        <v>1</v>
      </c>
      <c r="J307" s="348">
        <v>0</v>
      </c>
      <c r="K307" s="348"/>
      <c r="L307" s="348" t="s">
        <v>8</v>
      </c>
      <c r="M307" s="348"/>
      <c r="N307" s="348" t="s">
        <v>1372</v>
      </c>
      <c r="O307" s="348"/>
      <c r="P307" s="348" t="s">
        <v>1719</v>
      </c>
      <c r="Q307" s="348" t="s">
        <v>1900</v>
      </c>
      <c r="R307" s="348"/>
      <c r="S307" s="348" t="s">
        <v>1720</v>
      </c>
      <c r="T307" s="348" t="s">
        <v>1721</v>
      </c>
      <c r="U307" s="348" t="s">
        <v>40</v>
      </c>
      <c r="V307" s="348" t="s">
        <v>975</v>
      </c>
      <c r="W307" s="348" t="s">
        <v>46</v>
      </c>
      <c r="X307" s="348">
        <f t="shared" si="4"/>
        <v>20</v>
      </c>
    </row>
    <row r="308" spans="1:24" ht="156.75" x14ac:dyDescent="0.2">
      <c r="A308" s="225" t="s">
        <v>787</v>
      </c>
      <c r="B308" s="348" t="s">
        <v>1195</v>
      </c>
      <c r="C308" s="348">
        <v>0</v>
      </c>
      <c r="D308" s="348">
        <v>0</v>
      </c>
      <c r="E308" s="348">
        <v>0</v>
      </c>
      <c r="F308" s="348">
        <v>0</v>
      </c>
      <c r="G308" s="348">
        <v>0</v>
      </c>
      <c r="H308" s="348">
        <v>0</v>
      </c>
      <c r="I308" s="348">
        <v>1</v>
      </c>
      <c r="J308" s="348">
        <v>0</v>
      </c>
      <c r="K308" s="348"/>
      <c r="L308" s="348" t="s">
        <v>1004</v>
      </c>
      <c r="M308" s="348"/>
      <c r="N308" s="348" t="s">
        <v>1372</v>
      </c>
      <c r="O308" s="348" t="s">
        <v>1901</v>
      </c>
      <c r="P308" s="348"/>
      <c r="Q308" s="348"/>
      <c r="R308" s="348"/>
      <c r="S308" s="348" t="s">
        <v>1722</v>
      </c>
      <c r="T308" s="348" t="s">
        <v>1723</v>
      </c>
      <c r="U308" s="348" t="s">
        <v>1004</v>
      </c>
      <c r="V308" s="348" t="s">
        <v>975</v>
      </c>
      <c r="W308" s="348"/>
      <c r="X308" s="348"/>
    </row>
    <row r="309" spans="1:24" ht="114" x14ac:dyDescent="0.2">
      <c r="A309" s="225" t="s">
        <v>788</v>
      </c>
      <c r="B309" s="348" t="s">
        <v>1196</v>
      </c>
      <c r="C309" s="348">
        <v>0</v>
      </c>
      <c r="D309" s="348">
        <v>0</v>
      </c>
      <c r="E309" s="348">
        <v>0</v>
      </c>
      <c r="F309" s="348">
        <v>0</v>
      </c>
      <c r="G309" s="348">
        <v>0</v>
      </c>
      <c r="H309" s="348">
        <v>0</v>
      </c>
      <c r="I309" s="348">
        <v>1</v>
      </c>
      <c r="J309" s="348">
        <v>0</v>
      </c>
      <c r="K309" s="348"/>
      <c r="L309" s="348" t="s">
        <v>8</v>
      </c>
      <c r="M309" s="348"/>
      <c r="N309" s="348" t="s">
        <v>1372</v>
      </c>
      <c r="O309" s="348"/>
      <c r="P309" s="348" t="s">
        <v>1902</v>
      </c>
      <c r="Q309" s="348" t="s">
        <v>1903</v>
      </c>
      <c r="R309" s="348"/>
      <c r="S309" s="348" t="s">
        <v>1904</v>
      </c>
      <c r="T309" s="348" t="s">
        <v>1724</v>
      </c>
      <c r="U309" s="348" t="s">
        <v>40</v>
      </c>
      <c r="V309" s="348" t="s">
        <v>975</v>
      </c>
      <c r="W309" s="348" t="s">
        <v>75</v>
      </c>
      <c r="X309" s="348">
        <f t="shared" si="4"/>
        <v>10</v>
      </c>
    </row>
    <row r="310" spans="1:24" ht="128.25" x14ac:dyDescent="0.2">
      <c r="A310" s="362" t="s">
        <v>789</v>
      </c>
      <c r="B310" s="361" t="s">
        <v>1023</v>
      </c>
      <c r="C310" s="348">
        <v>0</v>
      </c>
      <c r="D310" s="348">
        <v>0</v>
      </c>
      <c r="E310" s="348">
        <v>0</v>
      </c>
      <c r="F310" s="348">
        <v>0</v>
      </c>
      <c r="G310" s="348">
        <v>0</v>
      </c>
      <c r="H310" s="348">
        <v>0</v>
      </c>
      <c r="I310" s="348">
        <v>1</v>
      </c>
      <c r="J310" s="348">
        <v>0</v>
      </c>
      <c r="K310" s="348"/>
      <c r="L310" s="348" t="s">
        <v>8</v>
      </c>
      <c r="M310" s="348"/>
      <c r="N310" s="348" t="s">
        <v>1372</v>
      </c>
      <c r="O310" s="348"/>
      <c r="P310" s="348" t="s">
        <v>1725</v>
      </c>
      <c r="Q310" s="348"/>
      <c r="R310" s="348"/>
      <c r="S310" s="348" t="s">
        <v>1726</v>
      </c>
      <c r="T310" s="348" t="s">
        <v>1727</v>
      </c>
      <c r="U310" s="348" t="s">
        <v>40</v>
      </c>
      <c r="V310" s="348" t="s">
        <v>975</v>
      </c>
      <c r="W310" s="348" t="s">
        <v>46</v>
      </c>
      <c r="X310" s="348">
        <f t="shared" si="4"/>
        <v>20</v>
      </c>
    </row>
    <row r="311" spans="1:24" ht="171" x14ac:dyDescent="0.2">
      <c r="A311" s="362" t="s">
        <v>790</v>
      </c>
      <c r="B311" s="361" t="s">
        <v>1024</v>
      </c>
      <c r="C311" s="348">
        <v>0</v>
      </c>
      <c r="D311" s="348">
        <v>0</v>
      </c>
      <c r="E311" s="348">
        <v>0</v>
      </c>
      <c r="F311" s="348">
        <v>0</v>
      </c>
      <c r="G311" s="348">
        <v>0</v>
      </c>
      <c r="H311" s="348">
        <v>0</v>
      </c>
      <c r="I311" s="348">
        <v>1</v>
      </c>
      <c r="J311" s="348">
        <v>0</v>
      </c>
      <c r="K311" s="348"/>
      <c r="L311" s="348" t="s">
        <v>8</v>
      </c>
      <c r="M311" s="348"/>
      <c r="N311" s="348" t="s">
        <v>1372</v>
      </c>
      <c r="O311" s="348"/>
      <c r="P311" s="348" t="s">
        <v>1729</v>
      </c>
      <c r="Q311" s="348" t="s">
        <v>1728</v>
      </c>
      <c r="R311" s="348"/>
      <c r="S311" s="348" t="s">
        <v>1730</v>
      </c>
      <c r="T311" s="348" t="s">
        <v>1731</v>
      </c>
      <c r="U311" s="348" t="s">
        <v>40</v>
      </c>
      <c r="V311" s="348" t="s">
        <v>975</v>
      </c>
      <c r="W311" s="348" t="s">
        <v>46</v>
      </c>
      <c r="X311" s="348">
        <f t="shared" si="4"/>
        <v>20</v>
      </c>
    </row>
    <row r="312" spans="1:24" ht="199.5" x14ac:dyDescent="0.2">
      <c r="A312" s="362" t="s">
        <v>791</v>
      </c>
      <c r="B312" s="361" t="s">
        <v>1437</v>
      </c>
      <c r="C312" s="348">
        <v>0</v>
      </c>
      <c r="D312" s="348">
        <v>0</v>
      </c>
      <c r="E312" s="348">
        <v>0</v>
      </c>
      <c r="F312" s="348">
        <v>0</v>
      </c>
      <c r="G312" s="348">
        <v>0</v>
      </c>
      <c r="H312" s="348">
        <v>0</v>
      </c>
      <c r="I312" s="348">
        <v>1</v>
      </c>
      <c r="J312" s="348">
        <v>0</v>
      </c>
      <c r="K312" s="348"/>
      <c r="L312" s="348" t="s">
        <v>8</v>
      </c>
      <c r="M312" s="348"/>
      <c r="N312" s="348" t="s">
        <v>1372</v>
      </c>
      <c r="O312" s="348"/>
      <c r="P312" s="348" t="s">
        <v>1905</v>
      </c>
      <c r="Q312" s="348" t="s">
        <v>1732</v>
      </c>
      <c r="R312" s="348"/>
      <c r="S312" s="348" t="s">
        <v>1733</v>
      </c>
      <c r="T312" s="348" t="s">
        <v>1734</v>
      </c>
      <c r="U312" s="348" t="s">
        <v>40</v>
      </c>
      <c r="V312" s="348" t="s">
        <v>975</v>
      </c>
      <c r="W312" s="348" t="s">
        <v>46</v>
      </c>
      <c r="X312" s="348">
        <f t="shared" si="4"/>
        <v>20</v>
      </c>
    </row>
    <row r="313" spans="1:24" ht="99.75" x14ac:dyDescent="0.2">
      <c r="A313" s="362" t="s">
        <v>792</v>
      </c>
      <c r="B313" s="361" t="s">
        <v>1438</v>
      </c>
      <c r="C313" s="348">
        <v>0</v>
      </c>
      <c r="D313" s="348">
        <v>0</v>
      </c>
      <c r="E313" s="348">
        <v>0</v>
      </c>
      <c r="F313" s="348">
        <v>0</v>
      </c>
      <c r="G313" s="348">
        <v>0</v>
      </c>
      <c r="H313" s="348">
        <v>0</v>
      </c>
      <c r="I313" s="348">
        <v>1</v>
      </c>
      <c r="J313" s="348">
        <v>0</v>
      </c>
      <c r="K313" s="348"/>
      <c r="L313" s="348" t="s">
        <v>8</v>
      </c>
      <c r="M313" s="348"/>
      <c r="N313" s="348" t="s">
        <v>1372</v>
      </c>
      <c r="O313" s="348"/>
      <c r="P313" s="348" t="s">
        <v>1906</v>
      </c>
      <c r="Q313" s="348" t="s">
        <v>1735</v>
      </c>
      <c r="R313" s="348" t="s">
        <v>1528</v>
      </c>
      <c r="S313" s="348" t="s">
        <v>1736</v>
      </c>
      <c r="T313" s="348"/>
      <c r="U313" s="348" t="s">
        <v>40</v>
      </c>
      <c r="V313" s="348" t="s">
        <v>975</v>
      </c>
      <c r="W313" s="348" t="s">
        <v>46</v>
      </c>
      <c r="X313" s="348">
        <f t="shared" si="4"/>
        <v>20</v>
      </c>
    </row>
    <row r="314" spans="1:24" ht="185.25" x14ac:dyDescent="0.2">
      <c r="A314" s="225" t="s">
        <v>793</v>
      </c>
      <c r="B314" s="348" t="s">
        <v>1439</v>
      </c>
      <c r="C314" s="348">
        <v>0</v>
      </c>
      <c r="D314" s="348">
        <v>0</v>
      </c>
      <c r="E314" s="348">
        <v>0</v>
      </c>
      <c r="F314" s="348">
        <v>0</v>
      </c>
      <c r="G314" s="348">
        <v>0</v>
      </c>
      <c r="H314" s="348">
        <v>0</v>
      </c>
      <c r="I314" s="348">
        <v>1</v>
      </c>
      <c r="J314" s="348">
        <v>0</v>
      </c>
      <c r="K314" s="348"/>
      <c r="L314" s="348" t="s">
        <v>8</v>
      </c>
      <c r="M314" s="348"/>
      <c r="N314" s="348" t="s">
        <v>1372</v>
      </c>
      <c r="O314" s="348" t="s">
        <v>1737</v>
      </c>
      <c r="P314" s="348" t="s">
        <v>1738</v>
      </c>
      <c r="Q314" s="348"/>
      <c r="R314" s="348"/>
      <c r="S314" s="348" t="s">
        <v>1739</v>
      </c>
      <c r="T314" s="348" t="s">
        <v>1740</v>
      </c>
      <c r="U314" s="348" t="s">
        <v>40</v>
      </c>
      <c r="V314" s="348" t="s">
        <v>975</v>
      </c>
      <c r="W314" s="348" t="s">
        <v>41</v>
      </c>
      <c r="X314" s="348">
        <f t="shared" si="4"/>
        <v>5</v>
      </c>
    </row>
    <row r="315" spans="1:24" ht="285" x14ac:dyDescent="0.2">
      <c r="A315" s="362" t="s">
        <v>794</v>
      </c>
      <c r="B315" s="361" t="s">
        <v>1197</v>
      </c>
      <c r="C315" s="348">
        <v>0</v>
      </c>
      <c r="D315" s="348">
        <v>0</v>
      </c>
      <c r="E315" s="348">
        <v>0</v>
      </c>
      <c r="F315" s="348">
        <v>0</v>
      </c>
      <c r="G315" s="348">
        <v>0</v>
      </c>
      <c r="H315" s="348">
        <v>0</v>
      </c>
      <c r="I315" s="348">
        <v>1</v>
      </c>
      <c r="J315" s="348">
        <v>0</v>
      </c>
      <c r="K315" s="348"/>
      <c r="L315" s="348" t="s">
        <v>8</v>
      </c>
      <c r="M315" s="348"/>
      <c r="N315" s="348" t="s">
        <v>1372</v>
      </c>
      <c r="O315" s="348" t="s">
        <v>1741</v>
      </c>
      <c r="P315" s="348" t="s">
        <v>1743</v>
      </c>
      <c r="Q315" s="348" t="s">
        <v>1742</v>
      </c>
      <c r="R315" s="348"/>
      <c r="S315" s="348" t="s">
        <v>1744</v>
      </c>
      <c r="T315" s="348" t="s">
        <v>1745</v>
      </c>
      <c r="U315" s="348" t="s">
        <v>40</v>
      </c>
      <c r="V315" s="348" t="s">
        <v>975</v>
      </c>
      <c r="W315" s="348" t="s">
        <v>46</v>
      </c>
      <c r="X315" s="348">
        <f t="shared" si="4"/>
        <v>20</v>
      </c>
    </row>
    <row r="316" spans="1:24" ht="299.25" x14ac:dyDescent="0.2">
      <c r="A316" s="362" t="s">
        <v>795</v>
      </c>
      <c r="B316" s="361" t="s">
        <v>1198</v>
      </c>
      <c r="C316" s="348">
        <v>0</v>
      </c>
      <c r="D316" s="348">
        <v>0</v>
      </c>
      <c r="E316" s="348">
        <v>0</v>
      </c>
      <c r="F316" s="348">
        <v>0</v>
      </c>
      <c r="G316" s="348">
        <v>0</v>
      </c>
      <c r="H316" s="348">
        <v>0</v>
      </c>
      <c r="I316" s="348">
        <v>1</v>
      </c>
      <c r="J316" s="348">
        <v>0</v>
      </c>
      <c r="K316" s="348"/>
      <c r="L316" s="348" t="s">
        <v>8</v>
      </c>
      <c r="M316" s="348"/>
      <c r="N316" s="348" t="s">
        <v>1372</v>
      </c>
      <c r="O316" s="348" t="s">
        <v>1746</v>
      </c>
      <c r="P316" s="348" t="s">
        <v>1748</v>
      </c>
      <c r="Q316" s="348" t="s">
        <v>1747</v>
      </c>
      <c r="R316" s="348"/>
      <c r="S316" s="348" t="s">
        <v>1749</v>
      </c>
      <c r="T316" s="348" t="s">
        <v>1750</v>
      </c>
      <c r="U316" s="348" t="s">
        <v>148</v>
      </c>
      <c r="V316" s="348" t="s">
        <v>975</v>
      </c>
      <c r="W316" s="348" t="s">
        <v>46</v>
      </c>
      <c r="X316" s="348">
        <f t="shared" si="4"/>
        <v>20</v>
      </c>
    </row>
    <row r="317" spans="1:24" ht="213.75" x14ac:dyDescent="0.2">
      <c r="A317" s="362" t="s">
        <v>796</v>
      </c>
      <c r="B317" s="361" t="s">
        <v>1199</v>
      </c>
      <c r="C317" s="348">
        <v>0</v>
      </c>
      <c r="D317" s="348">
        <v>0</v>
      </c>
      <c r="E317" s="348">
        <v>0</v>
      </c>
      <c r="F317" s="348">
        <v>0</v>
      </c>
      <c r="G317" s="348">
        <v>0</v>
      </c>
      <c r="H317" s="348">
        <v>0</v>
      </c>
      <c r="I317" s="348">
        <v>1</v>
      </c>
      <c r="J317" s="348">
        <v>0</v>
      </c>
      <c r="K317" s="348"/>
      <c r="L317" s="348" t="s">
        <v>8</v>
      </c>
      <c r="M317" s="348"/>
      <c r="N317" s="348" t="s">
        <v>1372</v>
      </c>
      <c r="O317" s="348" t="s">
        <v>1751</v>
      </c>
      <c r="P317" s="348" t="s">
        <v>1753</v>
      </c>
      <c r="Q317" s="348" t="s">
        <v>1752</v>
      </c>
      <c r="R317" s="348"/>
      <c r="S317" s="348" t="s">
        <v>1754</v>
      </c>
      <c r="T317" s="348" t="s">
        <v>1755</v>
      </c>
      <c r="U317" s="348" t="s">
        <v>40</v>
      </c>
      <c r="V317" s="348" t="s">
        <v>975</v>
      </c>
      <c r="W317" s="348" t="s">
        <v>46</v>
      </c>
      <c r="X317" s="348">
        <f t="shared" si="4"/>
        <v>20</v>
      </c>
    </row>
    <row r="318" spans="1:24" ht="213.75" x14ac:dyDescent="0.2">
      <c r="A318" s="225" t="s">
        <v>797</v>
      </c>
      <c r="B318" s="348" t="s">
        <v>1134</v>
      </c>
      <c r="C318" s="348">
        <v>0</v>
      </c>
      <c r="D318" s="348">
        <v>0</v>
      </c>
      <c r="E318" s="348">
        <v>0</v>
      </c>
      <c r="F318" s="348">
        <v>0</v>
      </c>
      <c r="G318" s="348">
        <v>0</v>
      </c>
      <c r="H318" s="348">
        <v>0</v>
      </c>
      <c r="I318" s="348">
        <v>1</v>
      </c>
      <c r="J318" s="348">
        <v>0</v>
      </c>
      <c r="K318" s="348"/>
      <c r="L318" s="348" t="s">
        <v>1004</v>
      </c>
      <c r="M318" s="348"/>
      <c r="N318" s="348" t="s">
        <v>1372</v>
      </c>
      <c r="O318" s="348" t="s">
        <v>1756</v>
      </c>
      <c r="P318" s="348"/>
      <c r="Q318" s="348"/>
      <c r="R318" s="348"/>
      <c r="S318" s="348" t="s">
        <v>1757</v>
      </c>
      <c r="T318" s="348" t="s">
        <v>1758</v>
      </c>
      <c r="U318" s="348" t="s">
        <v>1004</v>
      </c>
      <c r="V318" s="348" t="s">
        <v>975</v>
      </c>
      <c r="W318" s="348"/>
      <c r="X318" s="348"/>
    </row>
    <row r="319" spans="1:24" ht="242.25" x14ac:dyDescent="0.2">
      <c r="A319" s="225" t="s">
        <v>798</v>
      </c>
      <c r="B319" s="348" t="s">
        <v>1135</v>
      </c>
      <c r="C319" s="348">
        <v>0</v>
      </c>
      <c r="D319" s="348">
        <v>0</v>
      </c>
      <c r="E319" s="348">
        <v>0</v>
      </c>
      <c r="F319" s="348">
        <v>0</v>
      </c>
      <c r="G319" s="348">
        <v>0</v>
      </c>
      <c r="H319" s="348">
        <v>0</v>
      </c>
      <c r="I319" s="348">
        <v>1</v>
      </c>
      <c r="J319" s="348">
        <v>0</v>
      </c>
      <c r="K319" s="348"/>
      <c r="L319" s="348" t="s">
        <v>8</v>
      </c>
      <c r="M319" s="348"/>
      <c r="N319" s="348" t="s">
        <v>1372</v>
      </c>
      <c r="O319" s="348"/>
      <c r="P319" s="348" t="s">
        <v>1760</v>
      </c>
      <c r="Q319" s="348" t="s">
        <v>1759</v>
      </c>
      <c r="R319" s="348"/>
      <c r="S319" s="348" t="s">
        <v>1761</v>
      </c>
      <c r="T319" s="348" t="s">
        <v>1762</v>
      </c>
      <c r="U319" s="348" t="s">
        <v>40</v>
      </c>
      <c r="V319" s="348" t="s">
        <v>975</v>
      </c>
      <c r="W319" s="348" t="s">
        <v>75</v>
      </c>
      <c r="X319" s="348">
        <f t="shared" ref="X319:X334" si="5">IF($W319="Critical Importance",20,IF($W319="Minor Importance",5,10))</f>
        <v>10</v>
      </c>
    </row>
    <row r="320" spans="1:24" ht="342" x14ac:dyDescent="0.2">
      <c r="A320" s="362" t="s">
        <v>799</v>
      </c>
      <c r="B320" s="361" t="s">
        <v>1474</v>
      </c>
      <c r="C320" s="348">
        <v>0</v>
      </c>
      <c r="D320" s="348">
        <v>0</v>
      </c>
      <c r="E320" s="348">
        <v>0</v>
      </c>
      <c r="F320" s="348">
        <v>0</v>
      </c>
      <c r="G320" s="348">
        <v>0</v>
      </c>
      <c r="H320" s="348">
        <v>0</v>
      </c>
      <c r="I320" s="348">
        <v>1</v>
      </c>
      <c r="J320" s="348">
        <v>0</v>
      </c>
      <c r="K320" s="348"/>
      <c r="L320" s="348" t="s">
        <v>8</v>
      </c>
      <c r="M320" s="348"/>
      <c r="N320" s="348" t="s">
        <v>1373</v>
      </c>
      <c r="O320" s="348" t="s">
        <v>1763</v>
      </c>
      <c r="P320" s="348" t="s">
        <v>1765</v>
      </c>
      <c r="Q320" s="348" t="s">
        <v>1764</v>
      </c>
      <c r="R320" s="348"/>
      <c r="S320" s="348" t="s">
        <v>1766</v>
      </c>
      <c r="T320" s="348" t="s">
        <v>1767</v>
      </c>
      <c r="U320" s="348" t="s">
        <v>40</v>
      </c>
      <c r="V320" s="348" t="s">
        <v>975</v>
      </c>
      <c r="W320" s="348" t="s">
        <v>46</v>
      </c>
      <c r="X320" s="348">
        <f t="shared" si="5"/>
        <v>20</v>
      </c>
    </row>
    <row r="321" spans="1:24" ht="128.25" x14ac:dyDescent="0.2">
      <c r="A321" s="362" t="s">
        <v>800</v>
      </c>
      <c r="B321" s="361" t="s">
        <v>1025</v>
      </c>
      <c r="C321" s="348">
        <v>0</v>
      </c>
      <c r="D321" s="348">
        <v>0</v>
      </c>
      <c r="E321" s="348">
        <v>0</v>
      </c>
      <c r="F321" s="348">
        <v>0</v>
      </c>
      <c r="G321" s="348">
        <v>0</v>
      </c>
      <c r="H321" s="348">
        <v>0</v>
      </c>
      <c r="I321" s="348">
        <v>1</v>
      </c>
      <c r="J321" s="348">
        <v>0</v>
      </c>
      <c r="K321" s="348"/>
      <c r="L321" s="348" t="s">
        <v>8</v>
      </c>
      <c r="M321" s="348"/>
      <c r="N321" s="348" t="s">
        <v>1373</v>
      </c>
      <c r="O321" s="348"/>
      <c r="P321" s="348" t="s">
        <v>1769</v>
      </c>
      <c r="Q321" s="348" t="s">
        <v>1768</v>
      </c>
      <c r="R321" s="348"/>
      <c r="S321" s="348" t="s">
        <v>1770</v>
      </c>
      <c r="T321" s="348" t="s">
        <v>1771</v>
      </c>
      <c r="U321" s="348" t="s">
        <v>40</v>
      </c>
      <c r="V321" s="348" t="s">
        <v>975</v>
      </c>
      <c r="W321" s="348" t="s">
        <v>46</v>
      </c>
      <c r="X321" s="348">
        <f t="shared" si="5"/>
        <v>20</v>
      </c>
    </row>
    <row r="322" spans="1:24" ht="144.75" customHeight="1" x14ac:dyDescent="0.2">
      <c r="A322" s="225" t="s">
        <v>801</v>
      </c>
      <c r="B322" s="348" t="s">
        <v>1200</v>
      </c>
      <c r="C322" s="348">
        <v>0</v>
      </c>
      <c r="D322" s="348">
        <v>0</v>
      </c>
      <c r="E322" s="348">
        <v>0</v>
      </c>
      <c r="F322" s="348">
        <v>0</v>
      </c>
      <c r="G322" s="348">
        <v>0</v>
      </c>
      <c r="H322" s="348">
        <v>0</v>
      </c>
      <c r="I322" s="348">
        <v>1</v>
      </c>
      <c r="J322" s="348">
        <v>0</v>
      </c>
      <c r="K322" s="348"/>
      <c r="L322" s="348" t="s">
        <v>8</v>
      </c>
      <c r="M322" s="348"/>
      <c r="N322" s="348" t="s">
        <v>1373</v>
      </c>
      <c r="O322" s="348"/>
      <c r="P322" s="348" t="s">
        <v>1772</v>
      </c>
      <c r="Q322" s="348" t="s">
        <v>1907</v>
      </c>
      <c r="R322" s="348"/>
      <c r="S322" s="348" t="s">
        <v>1773</v>
      </c>
      <c r="T322" s="348" t="s">
        <v>1774</v>
      </c>
      <c r="U322" s="348" t="s">
        <v>40</v>
      </c>
      <c r="V322" s="348" t="s">
        <v>975</v>
      </c>
      <c r="W322" s="348" t="s">
        <v>75</v>
      </c>
      <c r="X322" s="348">
        <f t="shared" si="5"/>
        <v>10</v>
      </c>
    </row>
    <row r="323" spans="1:24" ht="90" customHeight="1" x14ac:dyDescent="0.2">
      <c r="A323" s="225" t="s">
        <v>803</v>
      </c>
      <c r="B323" s="348" t="s">
        <v>804</v>
      </c>
      <c r="C323" s="348">
        <v>0</v>
      </c>
      <c r="D323" s="348">
        <v>0</v>
      </c>
      <c r="E323" s="348">
        <v>0</v>
      </c>
      <c r="F323" s="348">
        <v>0</v>
      </c>
      <c r="G323" s="348">
        <v>0</v>
      </c>
      <c r="H323" s="348">
        <v>0</v>
      </c>
      <c r="I323" s="348">
        <v>1</v>
      </c>
      <c r="J323" s="348">
        <v>0</v>
      </c>
      <c r="K323" s="348"/>
      <c r="L323" s="348" t="s">
        <v>8</v>
      </c>
      <c r="M323" s="348"/>
      <c r="N323" s="348" t="s">
        <v>1373</v>
      </c>
      <c r="O323" s="348"/>
      <c r="P323" s="348" t="s">
        <v>1776</v>
      </c>
      <c r="Q323" s="348" t="s">
        <v>1775</v>
      </c>
      <c r="R323" s="348"/>
      <c r="S323" s="348" t="s">
        <v>1777</v>
      </c>
      <c r="T323" s="348" t="s">
        <v>1778</v>
      </c>
      <c r="U323" s="348" t="s">
        <v>40</v>
      </c>
      <c r="V323" s="348" t="s">
        <v>975</v>
      </c>
      <c r="W323" s="348" t="s">
        <v>75</v>
      </c>
      <c r="X323" s="348">
        <f t="shared" si="5"/>
        <v>10</v>
      </c>
    </row>
    <row r="324" spans="1:24" ht="90" customHeight="1" x14ac:dyDescent="0.2">
      <c r="A324" s="225" t="s">
        <v>805</v>
      </c>
      <c r="B324" s="348" t="s">
        <v>802</v>
      </c>
      <c r="C324" s="348">
        <v>0</v>
      </c>
      <c r="D324" s="348">
        <v>0</v>
      </c>
      <c r="E324" s="348">
        <v>0</v>
      </c>
      <c r="F324" s="348">
        <v>0</v>
      </c>
      <c r="G324" s="348">
        <v>0</v>
      </c>
      <c r="H324" s="348">
        <v>0</v>
      </c>
      <c r="I324" s="348">
        <v>1</v>
      </c>
      <c r="J324" s="348">
        <v>0</v>
      </c>
      <c r="K324" s="348"/>
      <c r="L324" s="348" t="s">
        <v>8</v>
      </c>
      <c r="M324" s="348"/>
      <c r="N324" s="348" t="s">
        <v>1373</v>
      </c>
      <c r="O324" s="348"/>
      <c r="P324" s="348" t="s">
        <v>1780</v>
      </c>
      <c r="Q324" s="348" t="s">
        <v>1779</v>
      </c>
      <c r="R324" s="348"/>
      <c r="S324" s="348" t="s">
        <v>1777</v>
      </c>
      <c r="T324" s="348"/>
      <c r="U324" s="348" t="s">
        <v>40</v>
      </c>
      <c r="V324" s="348" t="s">
        <v>975</v>
      </c>
      <c r="W324" s="348" t="s">
        <v>41</v>
      </c>
      <c r="X324" s="348">
        <f t="shared" si="5"/>
        <v>5</v>
      </c>
    </row>
    <row r="325" spans="1:24" ht="90" customHeight="1" x14ac:dyDescent="0.2">
      <c r="A325" s="225" t="s">
        <v>806</v>
      </c>
      <c r="B325" s="348" t="s">
        <v>1136</v>
      </c>
      <c r="C325" s="348">
        <v>0</v>
      </c>
      <c r="D325" s="348">
        <v>0</v>
      </c>
      <c r="E325" s="348">
        <v>0</v>
      </c>
      <c r="F325" s="348">
        <v>0</v>
      </c>
      <c r="G325" s="348">
        <v>0</v>
      </c>
      <c r="H325" s="348">
        <v>0</v>
      </c>
      <c r="I325" s="348">
        <v>1</v>
      </c>
      <c r="J325" s="348">
        <v>0</v>
      </c>
      <c r="K325" s="348"/>
      <c r="L325" s="348" t="s">
        <v>8</v>
      </c>
      <c r="M325" s="348"/>
      <c r="N325" s="348" t="s">
        <v>1373</v>
      </c>
      <c r="O325" s="348"/>
      <c r="P325" s="348" t="s">
        <v>1782</v>
      </c>
      <c r="Q325" s="348" t="s">
        <v>1781</v>
      </c>
      <c r="R325" s="348"/>
      <c r="S325" s="348" t="s">
        <v>1783</v>
      </c>
      <c r="T325" s="348" t="s">
        <v>1784</v>
      </c>
      <c r="U325" s="348" t="s">
        <v>40</v>
      </c>
      <c r="V325" s="348" t="s">
        <v>975</v>
      </c>
      <c r="W325" s="348" t="s">
        <v>41</v>
      </c>
      <c r="X325" s="348">
        <f t="shared" si="5"/>
        <v>5</v>
      </c>
    </row>
    <row r="326" spans="1:24" ht="114" x14ac:dyDescent="0.2">
      <c r="A326" s="225" t="s">
        <v>807</v>
      </c>
      <c r="B326" s="348" t="s">
        <v>1137</v>
      </c>
      <c r="C326" s="348">
        <v>0</v>
      </c>
      <c r="D326" s="348">
        <v>0</v>
      </c>
      <c r="E326" s="348">
        <v>0</v>
      </c>
      <c r="F326" s="348">
        <v>0</v>
      </c>
      <c r="G326" s="348">
        <v>0</v>
      </c>
      <c r="H326" s="348">
        <v>0</v>
      </c>
      <c r="I326" s="348">
        <v>1</v>
      </c>
      <c r="J326" s="348">
        <v>0</v>
      </c>
      <c r="K326" s="348"/>
      <c r="L326" s="348" t="s">
        <v>8</v>
      </c>
      <c r="M326" s="348"/>
      <c r="N326" s="348" t="s">
        <v>1373</v>
      </c>
      <c r="O326" s="348"/>
      <c r="P326" s="348" t="s">
        <v>1786</v>
      </c>
      <c r="Q326" s="348" t="s">
        <v>1785</v>
      </c>
      <c r="R326" s="348"/>
      <c r="S326" s="348" t="s">
        <v>1787</v>
      </c>
      <c r="T326" s="348" t="s">
        <v>1788</v>
      </c>
      <c r="U326" s="348" t="s">
        <v>40</v>
      </c>
      <c r="V326" s="348" t="s">
        <v>975</v>
      </c>
      <c r="W326" s="348" t="s">
        <v>41</v>
      </c>
      <c r="X326" s="348">
        <f t="shared" si="5"/>
        <v>5</v>
      </c>
    </row>
    <row r="327" spans="1:24" ht="90" customHeight="1" x14ac:dyDescent="0.2">
      <c r="A327" s="225" t="s">
        <v>809</v>
      </c>
      <c r="B327" s="348" t="s">
        <v>808</v>
      </c>
      <c r="C327" s="348">
        <v>0</v>
      </c>
      <c r="D327" s="348">
        <v>0</v>
      </c>
      <c r="E327" s="348">
        <v>0</v>
      </c>
      <c r="F327" s="348">
        <v>0</v>
      </c>
      <c r="G327" s="348">
        <v>0</v>
      </c>
      <c r="H327" s="348">
        <v>0</v>
      </c>
      <c r="I327" s="348">
        <v>1</v>
      </c>
      <c r="J327" s="348">
        <v>0</v>
      </c>
      <c r="K327" s="348"/>
      <c r="L327" s="348" t="s">
        <v>8</v>
      </c>
      <c r="M327" s="348"/>
      <c r="N327" s="348" t="s">
        <v>1373</v>
      </c>
      <c r="O327" s="348"/>
      <c r="P327" s="348" t="s">
        <v>1790</v>
      </c>
      <c r="Q327" s="348" t="s">
        <v>1789</v>
      </c>
      <c r="R327" s="348"/>
      <c r="S327" s="348" t="s">
        <v>1791</v>
      </c>
      <c r="T327" s="348" t="s">
        <v>1792</v>
      </c>
      <c r="U327" s="348" t="s">
        <v>40</v>
      </c>
      <c r="V327" s="348" t="s">
        <v>975</v>
      </c>
      <c r="W327" s="348" t="s">
        <v>41</v>
      </c>
      <c r="X327" s="348">
        <f t="shared" si="5"/>
        <v>5</v>
      </c>
    </row>
    <row r="328" spans="1:24" ht="90" customHeight="1" x14ac:dyDescent="0.2">
      <c r="A328" s="362" t="s">
        <v>810</v>
      </c>
      <c r="B328" s="361" t="s">
        <v>1201</v>
      </c>
      <c r="C328" s="348">
        <v>0</v>
      </c>
      <c r="D328" s="348">
        <v>0</v>
      </c>
      <c r="E328" s="348">
        <v>0</v>
      </c>
      <c r="F328" s="348">
        <v>0</v>
      </c>
      <c r="G328" s="348">
        <v>0</v>
      </c>
      <c r="H328" s="348">
        <v>0</v>
      </c>
      <c r="I328" s="348">
        <v>1</v>
      </c>
      <c r="J328" s="348">
        <v>0</v>
      </c>
      <c r="K328" s="348"/>
      <c r="L328" s="348" t="s">
        <v>8</v>
      </c>
      <c r="M328" s="348"/>
      <c r="N328" s="348" t="s">
        <v>1373</v>
      </c>
      <c r="O328" s="348"/>
      <c r="P328" s="348" t="s">
        <v>1908</v>
      </c>
      <c r="Q328" s="348" t="s">
        <v>1793</v>
      </c>
      <c r="R328" s="348"/>
      <c r="S328" s="348" t="s">
        <v>1794</v>
      </c>
      <c r="T328" s="348" t="s">
        <v>1795</v>
      </c>
      <c r="U328" s="348" t="s">
        <v>40</v>
      </c>
      <c r="V328" s="348" t="s">
        <v>975</v>
      </c>
      <c r="W328" s="348" t="s">
        <v>46</v>
      </c>
      <c r="X328" s="348">
        <f t="shared" si="5"/>
        <v>20</v>
      </c>
    </row>
    <row r="329" spans="1:24" ht="171" x14ac:dyDescent="0.2">
      <c r="A329" s="362" t="s">
        <v>811</v>
      </c>
      <c r="B329" s="361" t="s">
        <v>1202</v>
      </c>
      <c r="C329" s="348">
        <v>0</v>
      </c>
      <c r="D329" s="348">
        <v>0</v>
      </c>
      <c r="E329" s="348">
        <v>0</v>
      </c>
      <c r="F329" s="348">
        <v>0</v>
      </c>
      <c r="G329" s="348">
        <v>0</v>
      </c>
      <c r="H329" s="348">
        <v>0</v>
      </c>
      <c r="I329" s="348">
        <v>1</v>
      </c>
      <c r="J329" s="348">
        <v>0</v>
      </c>
      <c r="K329" s="348"/>
      <c r="L329" s="348" t="s">
        <v>8</v>
      </c>
      <c r="M329" s="348"/>
      <c r="N329" s="348" t="s">
        <v>1374</v>
      </c>
      <c r="O329" s="348"/>
      <c r="P329" s="348" t="s">
        <v>1797</v>
      </c>
      <c r="Q329" s="348" t="s">
        <v>1796</v>
      </c>
      <c r="R329" s="348"/>
      <c r="S329" s="348" t="s">
        <v>1798</v>
      </c>
      <c r="T329" s="348" t="s">
        <v>1799</v>
      </c>
      <c r="U329" s="348" t="s">
        <v>40</v>
      </c>
      <c r="V329" s="348" t="s">
        <v>975</v>
      </c>
      <c r="W329" s="348" t="s">
        <v>46</v>
      </c>
      <c r="X329" s="348">
        <f t="shared" si="5"/>
        <v>20</v>
      </c>
    </row>
    <row r="330" spans="1:24" ht="90" customHeight="1" x14ac:dyDescent="0.2">
      <c r="A330" s="362" t="s">
        <v>812</v>
      </c>
      <c r="B330" s="361" t="s">
        <v>1203</v>
      </c>
      <c r="C330" s="348">
        <v>0</v>
      </c>
      <c r="D330" s="348">
        <v>0</v>
      </c>
      <c r="E330" s="348">
        <v>0</v>
      </c>
      <c r="F330" s="348">
        <v>0</v>
      </c>
      <c r="G330" s="348">
        <v>0</v>
      </c>
      <c r="H330" s="348">
        <v>0</v>
      </c>
      <c r="I330" s="348">
        <v>1</v>
      </c>
      <c r="J330" s="348">
        <v>0</v>
      </c>
      <c r="K330" s="348"/>
      <c r="L330" s="348" t="s">
        <v>8</v>
      </c>
      <c r="M330" s="348"/>
      <c r="N330" s="348" t="s">
        <v>1374</v>
      </c>
      <c r="O330" s="348"/>
      <c r="P330" s="348" t="s">
        <v>1801</v>
      </c>
      <c r="Q330" s="348" t="s">
        <v>1800</v>
      </c>
      <c r="R330" s="348"/>
      <c r="S330" s="348" t="s">
        <v>1802</v>
      </c>
      <c r="T330" s="348" t="s">
        <v>1803</v>
      </c>
      <c r="U330" s="348" t="s">
        <v>40</v>
      </c>
      <c r="V330" s="348" t="s">
        <v>975</v>
      </c>
      <c r="W330" s="348" t="s">
        <v>46</v>
      </c>
      <c r="X330" s="348">
        <f t="shared" si="5"/>
        <v>20</v>
      </c>
    </row>
    <row r="331" spans="1:24" ht="90" customHeight="1" x14ac:dyDescent="0.2">
      <c r="A331" s="362" t="s">
        <v>813</v>
      </c>
      <c r="B331" s="361" t="s">
        <v>1138</v>
      </c>
      <c r="C331" s="348">
        <v>0</v>
      </c>
      <c r="D331" s="348">
        <v>0</v>
      </c>
      <c r="E331" s="348">
        <v>0</v>
      </c>
      <c r="F331" s="348">
        <v>0</v>
      </c>
      <c r="G331" s="348">
        <v>0</v>
      </c>
      <c r="H331" s="348">
        <v>0</v>
      </c>
      <c r="I331" s="348">
        <v>1</v>
      </c>
      <c r="J331" s="348">
        <v>0</v>
      </c>
      <c r="K331" s="348"/>
      <c r="L331" s="348" t="s">
        <v>8</v>
      </c>
      <c r="M331" s="348"/>
      <c r="N331" s="348" t="s">
        <v>1375</v>
      </c>
      <c r="O331" s="348"/>
      <c r="P331" s="348" t="s">
        <v>1805</v>
      </c>
      <c r="Q331" s="348" t="s">
        <v>1804</v>
      </c>
      <c r="R331" s="348"/>
      <c r="S331" s="348" t="s">
        <v>1806</v>
      </c>
      <c r="T331" s="348" t="s">
        <v>1807</v>
      </c>
      <c r="U331" s="348" t="s">
        <v>40</v>
      </c>
      <c r="V331" s="348" t="s">
        <v>975</v>
      </c>
      <c r="W331" s="348" t="s">
        <v>46</v>
      </c>
      <c r="X331" s="348">
        <f t="shared" si="5"/>
        <v>20</v>
      </c>
    </row>
    <row r="332" spans="1:24" ht="90" customHeight="1" x14ac:dyDescent="0.2">
      <c r="A332" s="225" t="s">
        <v>814</v>
      </c>
      <c r="B332" s="348" t="s">
        <v>1204</v>
      </c>
      <c r="C332" s="348">
        <v>0</v>
      </c>
      <c r="D332" s="348">
        <v>0</v>
      </c>
      <c r="E332" s="348">
        <v>0</v>
      </c>
      <c r="F332" s="348">
        <v>0</v>
      </c>
      <c r="G332" s="348">
        <v>0</v>
      </c>
      <c r="H332" s="348">
        <v>0</v>
      </c>
      <c r="I332" s="348">
        <v>1</v>
      </c>
      <c r="J332" s="348">
        <v>0</v>
      </c>
      <c r="K332" s="348"/>
      <c r="L332" s="348" t="s">
        <v>8</v>
      </c>
      <c r="M332" s="348"/>
      <c r="N332" s="348" t="s">
        <v>1374</v>
      </c>
      <c r="O332" s="348"/>
      <c r="P332" s="348" t="s">
        <v>1809</v>
      </c>
      <c r="Q332" s="348" t="s">
        <v>1808</v>
      </c>
      <c r="R332" s="348"/>
      <c r="S332" s="348" t="s">
        <v>1810</v>
      </c>
      <c r="T332" s="348" t="s">
        <v>1811</v>
      </c>
      <c r="U332" s="348" t="s">
        <v>40</v>
      </c>
      <c r="V332" s="348" t="s">
        <v>975</v>
      </c>
      <c r="W332" s="348" t="s">
        <v>75</v>
      </c>
      <c r="X332" s="348">
        <f t="shared" si="5"/>
        <v>10</v>
      </c>
    </row>
    <row r="333" spans="1:24" ht="90" customHeight="1" x14ac:dyDescent="0.2">
      <c r="A333" s="225" t="s">
        <v>815</v>
      </c>
      <c r="B333" s="348" t="s">
        <v>819</v>
      </c>
      <c r="C333" s="348">
        <v>0</v>
      </c>
      <c r="D333" s="348">
        <v>0</v>
      </c>
      <c r="E333" s="348">
        <v>0</v>
      </c>
      <c r="F333" s="348">
        <v>0</v>
      </c>
      <c r="G333" s="348">
        <v>0</v>
      </c>
      <c r="H333" s="348">
        <v>0</v>
      </c>
      <c r="I333" s="348">
        <v>1</v>
      </c>
      <c r="J333" s="348">
        <v>0</v>
      </c>
      <c r="K333" s="348"/>
      <c r="L333" s="348" t="s">
        <v>8</v>
      </c>
      <c r="M333" s="348"/>
      <c r="N333" s="348" t="s">
        <v>1374</v>
      </c>
      <c r="O333" s="348"/>
      <c r="P333" s="348" t="s">
        <v>1813</v>
      </c>
      <c r="Q333" s="348" t="s">
        <v>1812</v>
      </c>
      <c r="R333" s="348"/>
      <c r="S333" s="348" t="s">
        <v>1814</v>
      </c>
      <c r="T333" s="348" t="s">
        <v>1815</v>
      </c>
      <c r="U333" s="348" t="s">
        <v>40</v>
      </c>
      <c r="V333" s="348" t="s">
        <v>975</v>
      </c>
      <c r="W333" s="348" t="s">
        <v>75</v>
      </c>
      <c r="X333" s="348">
        <f t="shared" si="5"/>
        <v>10</v>
      </c>
    </row>
    <row r="334" spans="1:24" ht="90" customHeight="1" x14ac:dyDescent="0.2">
      <c r="A334" s="225" t="s">
        <v>818</v>
      </c>
      <c r="B334" s="348" t="s">
        <v>816</v>
      </c>
      <c r="C334" s="348">
        <v>0</v>
      </c>
      <c r="D334" s="348">
        <v>0</v>
      </c>
      <c r="E334" s="348">
        <v>0</v>
      </c>
      <c r="F334" s="348">
        <v>0</v>
      </c>
      <c r="G334" s="348">
        <v>0</v>
      </c>
      <c r="H334" s="348">
        <v>0</v>
      </c>
      <c r="I334" s="348">
        <v>1</v>
      </c>
      <c r="J334" s="348">
        <v>0</v>
      </c>
      <c r="K334" s="348"/>
      <c r="L334" s="348" t="s">
        <v>8</v>
      </c>
      <c r="M334" s="348" t="s">
        <v>975</v>
      </c>
      <c r="N334" s="348" t="s">
        <v>1374</v>
      </c>
      <c r="O334" s="348" t="s">
        <v>817</v>
      </c>
      <c r="P334" s="348" t="s">
        <v>975</v>
      </c>
      <c r="Q334" s="348" t="s">
        <v>975</v>
      </c>
      <c r="R334" s="348"/>
      <c r="S334" s="348" t="s">
        <v>975</v>
      </c>
      <c r="T334" s="348" t="s">
        <v>975</v>
      </c>
      <c r="U334" s="348" t="s">
        <v>40</v>
      </c>
      <c r="V334" s="348" t="s">
        <v>975</v>
      </c>
      <c r="W334" s="348" t="s">
        <v>41</v>
      </c>
      <c r="X334" s="348">
        <f t="shared" si="5"/>
        <v>5</v>
      </c>
    </row>
    <row r="335" spans="1:24" ht="14.25" x14ac:dyDescent="0.2">
      <c r="A335" s="225"/>
      <c r="B335" s="225"/>
      <c r="C335" s="225"/>
      <c r="D335" s="225"/>
      <c r="E335" s="225"/>
      <c r="F335" s="225"/>
      <c r="G335" s="225"/>
      <c r="H335" s="225"/>
      <c r="I335" s="225"/>
      <c r="J335" s="225"/>
      <c r="K335" s="225"/>
      <c r="L335" s="225"/>
      <c r="M335" s="225"/>
      <c r="N335" s="225"/>
      <c r="O335" s="225"/>
      <c r="P335" s="225"/>
      <c r="Q335" s="225"/>
      <c r="R335" s="225"/>
      <c r="S335" s="225"/>
      <c r="T335" s="225"/>
      <c r="U335" s="225"/>
      <c r="V335" s="225"/>
      <c r="W335" s="225"/>
      <c r="X335" s="225"/>
    </row>
    <row r="336" spans="1:24" ht="14.25" x14ac:dyDescent="0.2">
      <c r="A336" s="225"/>
      <c r="B336" s="225"/>
      <c r="C336" s="225"/>
      <c r="D336" s="225"/>
      <c r="E336" s="225"/>
      <c r="F336" s="225"/>
      <c r="G336" s="225"/>
      <c r="H336" s="225"/>
      <c r="I336" s="225"/>
      <c r="J336" s="225"/>
      <c r="K336" s="225"/>
      <c r="L336" s="225"/>
      <c r="M336" s="225"/>
      <c r="N336" s="225"/>
      <c r="O336" s="225"/>
      <c r="P336" s="225"/>
      <c r="Q336" s="225"/>
      <c r="R336" s="225"/>
      <c r="S336" s="225"/>
      <c r="T336" s="225"/>
      <c r="U336" s="225"/>
      <c r="V336" s="225"/>
      <c r="W336" s="225"/>
      <c r="X336" s="225"/>
    </row>
    <row r="337" spans="1:24" ht="14.25" x14ac:dyDescent="0.2">
      <c r="A337" s="225"/>
      <c r="B337" s="225"/>
      <c r="C337" s="225"/>
      <c r="D337" s="225"/>
      <c r="E337" s="225"/>
      <c r="F337" s="225"/>
      <c r="G337" s="225"/>
      <c r="H337" s="225"/>
      <c r="I337" s="225"/>
      <c r="J337" s="225"/>
      <c r="K337" s="225"/>
      <c r="L337" s="225"/>
      <c r="M337" s="225"/>
      <c r="N337" s="225"/>
      <c r="O337" s="225"/>
      <c r="P337" s="225"/>
      <c r="Q337" s="225"/>
      <c r="R337" s="225"/>
      <c r="S337" s="225"/>
      <c r="T337" s="225"/>
      <c r="U337" s="225"/>
      <c r="V337" s="225"/>
      <c r="W337" s="225"/>
      <c r="X337" s="225"/>
    </row>
    <row r="338" spans="1:24" ht="14.25" x14ac:dyDescent="0.2">
      <c r="A338" s="225"/>
      <c r="B338" s="225"/>
      <c r="C338" s="225"/>
      <c r="D338" s="225"/>
      <c r="E338" s="225"/>
      <c r="F338" s="225"/>
      <c r="G338" s="225"/>
      <c r="H338" s="225"/>
      <c r="I338" s="225"/>
      <c r="J338" s="225"/>
      <c r="K338" s="225"/>
      <c r="L338" s="225"/>
      <c r="M338" s="225"/>
      <c r="N338" s="225"/>
      <c r="O338" s="225"/>
      <c r="P338" s="225"/>
      <c r="Q338" s="225"/>
      <c r="R338" s="225"/>
      <c r="S338" s="225"/>
      <c r="T338" s="225"/>
      <c r="U338" s="225"/>
      <c r="V338" s="225"/>
      <c r="W338" s="225"/>
      <c r="X338" s="225"/>
    </row>
    <row r="339" spans="1:24" ht="14.25" x14ac:dyDescent="0.2">
      <c r="A339" s="225"/>
      <c r="B339" s="225"/>
      <c r="C339" s="225"/>
      <c r="D339" s="225"/>
      <c r="E339" s="225"/>
      <c r="F339" s="225"/>
      <c r="G339" s="225"/>
      <c r="H339" s="225"/>
      <c r="I339" s="225"/>
      <c r="J339" s="225"/>
      <c r="K339" s="225"/>
      <c r="L339" s="225"/>
      <c r="M339" s="225"/>
      <c r="N339" s="225"/>
      <c r="O339" s="225"/>
      <c r="P339" s="225"/>
      <c r="Q339" s="225"/>
      <c r="R339" s="225"/>
      <c r="S339" s="225"/>
      <c r="T339" s="225"/>
      <c r="U339" s="225"/>
      <c r="V339" s="225"/>
      <c r="W339" s="225"/>
      <c r="X339" s="225"/>
    </row>
    <row r="340" spans="1:24" ht="14.25" x14ac:dyDescent="0.2">
      <c r="A340" s="225"/>
      <c r="B340" s="225"/>
      <c r="C340" s="225"/>
      <c r="D340" s="225"/>
      <c r="E340" s="225"/>
      <c r="F340" s="225"/>
      <c r="G340" s="225"/>
      <c r="H340" s="225"/>
      <c r="I340" s="225"/>
      <c r="J340" s="225"/>
      <c r="K340" s="225"/>
      <c r="L340" s="225"/>
      <c r="M340" s="225"/>
      <c r="N340" s="225"/>
      <c r="O340" s="225"/>
      <c r="P340" s="225"/>
      <c r="Q340" s="225"/>
      <c r="R340" s="225"/>
      <c r="S340" s="225"/>
      <c r="T340" s="225"/>
      <c r="U340" s="225"/>
      <c r="V340" s="225"/>
      <c r="W340" s="225"/>
      <c r="X340" s="225"/>
    </row>
    <row r="341" spans="1:24" ht="14.25" x14ac:dyDescent="0.2">
      <c r="A341" s="225"/>
      <c r="B341" s="225"/>
      <c r="C341" s="225"/>
      <c r="D341" s="225"/>
      <c r="E341" s="225"/>
      <c r="F341" s="225"/>
      <c r="G341" s="225"/>
      <c r="H341" s="225"/>
      <c r="I341" s="225"/>
      <c r="J341" s="225"/>
      <c r="K341" s="225"/>
      <c r="L341" s="225"/>
      <c r="M341" s="225"/>
      <c r="N341" s="225"/>
      <c r="O341" s="225"/>
      <c r="P341" s="225"/>
      <c r="Q341" s="225"/>
      <c r="R341" s="225"/>
      <c r="S341" s="225"/>
      <c r="T341" s="225"/>
      <c r="U341" s="225"/>
      <c r="V341" s="225"/>
      <c r="W341" s="225"/>
      <c r="X341" s="225"/>
    </row>
    <row r="342" spans="1:24" ht="14.25" x14ac:dyDescent="0.2">
      <c r="A342" s="225"/>
      <c r="B342" s="225"/>
      <c r="C342" s="225"/>
      <c r="D342" s="225"/>
      <c r="E342" s="225"/>
      <c r="F342" s="225"/>
      <c r="G342" s="225"/>
      <c r="H342" s="225"/>
      <c r="I342" s="225"/>
      <c r="J342" s="225"/>
      <c r="K342" s="225"/>
      <c r="L342" s="225"/>
      <c r="M342" s="225"/>
      <c r="N342" s="225"/>
      <c r="O342" s="225"/>
      <c r="P342" s="225"/>
      <c r="Q342" s="225"/>
      <c r="R342" s="225"/>
      <c r="S342" s="225"/>
      <c r="T342" s="225"/>
      <c r="U342" s="225"/>
      <c r="V342" s="225"/>
      <c r="W342" s="225"/>
      <c r="X342" s="225"/>
    </row>
    <row r="343" spans="1:24" ht="14.25" x14ac:dyDescent="0.2">
      <c r="A343" s="225"/>
      <c r="B343" s="225"/>
      <c r="C343" s="225"/>
      <c r="D343" s="225"/>
      <c r="E343" s="225"/>
      <c r="F343" s="225"/>
      <c r="G343" s="225"/>
      <c r="H343" s="225"/>
      <c r="I343" s="225"/>
      <c r="J343" s="225"/>
      <c r="K343" s="225"/>
      <c r="L343" s="225"/>
      <c r="M343" s="225"/>
      <c r="N343" s="225"/>
      <c r="O343" s="225"/>
      <c r="P343" s="225"/>
      <c r="Q343" s="225"/>
      <c r="R343" s="225"/>
      <c r="S343" s="225"/>
      <c r="T343" s="225"/>
      <c r="U343" s="225"/>
      <c r="V343" s="225"/>
      <c r="W343" s="225"/>
      <c r="X343" s="225"/>
    </row>
    <row r="344" spans="1:24" ht="14.25" x14ac:dyDescent="0.2">
      <c r="A344" s="225"/>
      <c r="B344" s="225"/>
      <c r="C344" s="225"/>
      <c r="D344" s="225"/>
      <c r="E344" s="225"/>
      <c r="F344" s="225"/>
      <c r="G344" s="225"/>
      <c r="H344" s="225"/>
      <c r="I344" s="225"/>
      <c r="J344" s="225"/>
      <c r="K344" s="225"/>
      <c r="L344" s="225"/>
      <c r="M344" s="225"/>
      <c r="N344" s="225"/>
      <c r="O344" s="225"/>
      <c r="P344" s="225"/>
      <c r="Q344" s="225"/>
      <c r="R344" s="225"/>
      <c r="S344" s="225"/>
      <c r="T344" s="225"/>
      <c r="U344" s="225"/>
      <c r="V344" s="225"/>
      <c r="W344" s="225"/>
      <c r="X344" s="225"/>
    </row>
    <row r="345" spans="1:24" ht="14.25" x14ac:dyDescent="0.2">
      <c r="A345" s="225"/>
      <c r="B345" s="225"/>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row>
    <row r="346" spans="1:24" ht="14.25" x14ac:dyDescent="0.2">
      <c r="A346" s="225"/>
      <c r="B346" s="225"/>
      <c r="C346" s="225"/>
      <c r="D346" s="225"/>
      <c r="E346" s="225"/>
      <c r="F346" s="225"/>
      <c r="G346" s="225"/>
      <c r="H346" s="225"/>
      <c r="I346" s="225"/>
      <c r="J346" s="225"/>
      <c r="K346" s="225"/>
      <c r="L346" s="225"/>
      <c r="M346" s="225"/>
      <c r="N346" s="225"/>
      <c r="O346" s="225"/>
      <c r="P346" s="225"/>
      <c r="Q346" s="225"/>
      <c r="R346" s="225"/>
      <c r="S346" s="225"/>
      <c r="T346" s="225"/>
      <c r="U346" s="225"/>
      <c r="V346" s="225"/>
      <c r="W346" s="225"/>
      <c r="X346" s="225"/>
    </row>
    <row r="347" spans="1:24" ht="14.25" x14ac:dyDescent="0.2">
      <c r="A347" s="225"/>
      <c r="B347" s="225"/>
      <c r="C347" s="225"/>
      <c r="D347" s="225"/>
      <c r="E347" s="225"/>
      <c r="F347" s="225"/>
      <c r="G347" s="225"/>
      <c r="H347" s="225"/>
      <c r="I347" s="225"/>
      <c r="J347" s="225"/>
      <c r="K347" s="225"/>
      <c r="L347" s="225"/>
      <c r="M347" s="225"/>
      <c r="N347" s="225"/>
      <c r="O347" s="225"/>
      <c r="P347" s="225"/>
      <c r="Q347" s="225"/>
      <c r="R347" s="225"/>
      <c r="S347" s="225"/>
      <c r="T347" s="225"/>
      <c r="U347" s="225"/>
      <c r="V347" s="225"/>
      <c r="W347" s="225"/>
      <c r="X347" s="225"/>
    </row>
    <row r="348" spans="1:24" ht="14.25" x14ac:dyDescent="0.2">
      <c r="A348" s="225"/>
      <c r="B348" s="225"/>
      <c r="C348" s="225"/>
      <c r="D348" s="225"/>
      <c r="E348" s="225"/>
      <c r="F348" s="225"/>
      <c r="G348" s="225"/>
      <c r="H348" s="225"/>
      <c r="I348" s="225"/>
      <c r="J348" s="225"/>
      <c r="K348" s="225"/>
      <c r="L348" s="225"/>
      <c r="M348" s="225"/>
      <c r="N348" s="225"/>
      <c r="O348" s="225"/>
      <c r="P348" s="225"/>
      <c r="Q348" s="225"/>
      <c r="R348" s="225"/>
      <c r="S348" s="225"/>
      <c r="T348" s="225"/>
      <c r="U348" s="225"/>
      <c r="V348" s="225"/>
      <c r="W348" s="225"/>
      <c r="X348" s="225"/>
    </row>
    <row r="349" spans="1:24" ht="14.25" x14ac:dyDescent="0.2">
      <c r="A349" s="225"/>
      <c r="B349" s="225"/>
      <c r="C349" s="225"/>
      <c r="D349" s="225"/>
      <c r="E349" s="225"/>
      <c r="F349" s="225"/>
      <c r="G349" s="225"/>
      <c r="H349" s="225"/>
      <c r="I349" s="225"/>
      <c r="J349" s="225"/>
      <c r="K349" s="225"/>
      <c r="L349" s="225"/>
      <c r="M349" s="225"/>
      <c r="N349" s="225"/>
      <c r="O349" s="225"/>
      <c r="P349" s="225"/>
      <c r="Q349" s="225"/>
      <c r="R349" s="225"/>
      <c r="S349" s="225"/>
      <c r="T349" s="225"/>
      <c r="U349" s="225"/>
      <c r="V349" s="225"/>
      <c r="W349" s="225"/>
      <c r="X349" s="225"/>
    </row>
    <row r="350" spans="1:24" ht="14.25" x14ac:dyDescent="0.2">
      <c r="A350" s="225"/>
      <c r="B350" s="225"/>
      <c r="C350" s="225"/>
      <c r="D350" s="225"/>
      <c r="E350" s="225"/>
      <c r="F350" s="225"/>
      <c r="G350" s="225"/>
      <c r="H350" s="225"/>
      <c r="I350" s="225"/>
      <c r="J350" s="225"/>
      <c r="K350" s="225"/>
      <c r="L350" s="225"/>
      <c r="M350" s="225"/>
      <c r="N350" s="225"/>
      <c r="O350" s="225"/>
      <c r="P350" s="225"/>
      <c r="Q350" s="225"/>
      <c r="R350" s="225"/>
      <c r="S350" s="225"/>
      <c r="T350" s="225"/>
      <c r="U350" s="225"/>
      <c r="V350" s="225"/>
      <c r="W350" s="225"/>
      <c r="X350" s="225"/>
    </row>
    <row r="351" spans="1:24" ht="14.25" x14ac:dyDescent="0.2">
      <c r="A351" s="225"/>
      <c r="B351" s="225"/>
      <c r="C351" s="225"/>
      <c r="D351" s="225"/>
      <c r="E351" s="225"/>
      <c r="F351" s="225"/>
      <c r="G351" s="225"/>
      <c r="H351" s="225"/>
      <c r="I351" s="225"/>
      <c r="J351" s="225"/>
      <c r="K351" s="225"/>
      <c r="L351" s="225"/>
      <c r="M351" s="225"/>
      <c r="N351" s="225"/>
      <c r="O351" s="225"/>
      <c r="P351" s="225"/>
      <c r="Q351" s="225"/>
      <c r="R351" s="225"/>
      <c r="S351" s="225"/>
      <c r="T351" s="225"/>
      <c r="U351" s="225"/>
      <c r="V351" s="225"/>
      <c r="W351" s="225"/>
      <c r="X351" s="225"/>
    </row>
    <row r="352" spans="1:24" ht="14.25" x14ac:dyDescent="0.2">
      <c r="A352" s="225"/>
      <c r="B352" s="225"/>
      <c r="C352" s="225"/>
      <c r="D352" s="225"/>
      <c r="E352" s="225"/>
      <c r="F352" s="225"/>
      <c r="G352" s="225"/>
      <c r="H352" s="225"/>
      <c r="I352" s="225"/>
      <c r="J352" s="225"/>
      <c r="K352" s="225"/>
      <c r="L352" s="225"/>
      <c r="M352" s="225"/>
      <c r="N352" s="225"/>
      <c r="O352" s="225"/>
      <c r="P352" s="225"/>
      <c r="Q352" s="225"/>
      <c r="R352" s="225"/>
      <c r="S352" s="225"/>
      <c r="T352" s="225"/>
      <c r="U352" s="225"/>
      <c r="V352" s="225"/>
      <c r="W352" s="225"/>
      <c r="X352" s="225"/>
    </row>
    <row r="353" spans="1:24" ht="14.25" x14ac:dyDescent="0.2">
      <c r="A353" s="225"/>
      <c r="B353" s="225"/>
      <c r="C353" s="225"/>
      <c r="D353" s="225"/>
      <c r="E353" s="225"/>
      <c r="F353" s="225"/>
      <c r="G353" s="225"/>
      <c r="H353" s="225"/>
      <c r="I353" s="225"/>
      <c r="J353" s="225"/>
      <c r="K353" s="225"/>
      <c r="L353" s="225"/>
      <c r="M353" s="225"/>
      <c r="N353" s="225"/>
      <c r="O353" s="225"/>
      <c r="P353" s="225"/>
      <c r="Q353" s="225"/>
      <c r="R353" s="225"/>
      <c r="S353" s="225"/>
      <c r="T353" s="225"/>
      <c r="U353" s="225"/>
      <c r="V353" s="225"/>
      <c r="W353" s="225"/>
      <c r="X353" s="225"/>
    </row>
    <row r="354" spans="1:24" ht="14.25" x14ac:dyDescent="0.2">
      <c r="A354" s="225"/>
      <c r="B354" s="225"/>
      <c r="C354" s="225"/>
      <c r="D354" s="225"/>
      <c r="E354" s="225"/>
      <c r="F354" s="225"/>
      <c r="G354" s="225"/>
      <c r="H354" s="225"/>
      <c r="I354" s="225"/>
      <c r="J354" s="225"/>
      <c r="K354" s="225"/>
      <c r="L354" s="225"/>
      <c r="M354" s="225"/>
      <c r="N354" s="225"/>
      <c r="O354" s="225"/>
      <c r="P354" s="225"/>
      <c r="Q354" s="225"/>
      <c r="R354" s="225"/>
      <c r="S354" s="225"/>
      <c r="T354" s="225"/>
      <c r="U354" s="225"/>
      <c r="V354" s="225"/>
      <c r="W354" s="225"/>
      <c r="X354" s="225"/>
    </row>
    <row r="355" spans="1:24" ht="14.25" x14ac:dyDescent="0.2">
      <c r="A355" s="225"/>
      <c r="B355" s="225"/>
      <c r="C355" s="225"/>
      <c r="D355" s="225"/>
      <c r="E355" s="225"/>
      <c r="F355" s="225"/>
      <c r="G355" s="225"/>
      <c r="H355" s="225"/>
      <c r="I355" s="225"/>
      <c r="J355" s="225"/>
      <c r="K355" s="225"/>
      <c r="L355" s="225"/>
      <c r="M355" s="225"/>
      <c r="N355" s="225"/>
      <c r="O355" s="225"/>
      <c r="P355" s="225"/>
      <c r="Q355" s="225"/>
      <c r="R355" s="225"/>
      <c r="S355" s="225"/>
      <c r="T355" s="225"/>
      <c r="U355" s="225"/>
      <c r="V355" s="225"/>
      <c r="W355" s="225"/>
      <c r="X355" s="225"/>
    </row>
    <row r="356" spans="1:24" ht="14.25" x14ac:dyDescent="0.2">
      <c r="A356" s="225"/>
      <c r="B356" s="225"/>
      <c r="C356" s="225"/>
      <c r="D356" s="225"/>
      <c r="E356" s="225"/>
      <c r="F356" s="225"/>
      <c r="G356" s="225"/>
      <c r="H356" s="225"/>
      <c r="I356" s="225"/>
      <c r="J356" s="225"/>
      <c r="K356" s="225"/>
      <c r="L356" s="225"/>
      <c r="M356" s="225"/>
      <c r="N356" s="225"/>
      <c r="O356" s="225"/>
      <c r="P356" s="225"/>
      <c r="Q356" s="225"/>
      <c r="R356" s="225"/>
      <c r="S356" s="225"/>
      <c r="T356" s="225"/>
      <c r="U356" s="225"/>
      <c r="V356" s="225"/>
      <c r="W356" s="225"/>
      <c r="X356" s="225"/>
    </row>
    <row r="357" spans="1:24" ht="14.25" x14ac:dyDescent="0.2">
      <c r="A357" s="225"/>
      <c r="B357" s="225"/>
      <c r="C357" s="225"/>
      <c r="D357" s="225"/>
      <c r="E357" s="225"/>
      <c r="F357" s="225"/>
      <c r="G357" s="225"/>
      <c r="H357" s="225"/>
      <c r="I357" s="225"/>
      <c r="J357" s="225"/>
      <c r="K357" s="225"/>
      <c r="L357" s="225"/>
      <c r="M357" s="225"/>
      <c r="N357" s="225"/>
      <c r="O357" s="225"/>
      <c r="P357" s="225"/>
      <c r="Q357" s="225"/>
      <c r="R357" s="225"/>
      <c r="S357" s="225"/>
      <c r="T357" s="225"/>
      <c r="U357" s="225"/>
      <c r="V357" s="225"/>
      <c r="W357" s="225"/>
      <c r="X357" s="225"/>
    </row>
    <row r="358" spans="1:24" ht="14.25" x14ac:dyDescent="0.2">
      <c r="A358" s="225"/>
      <c r="B358" s="225"/>
      <c r="C358" s="225"/>
      <c r="D358" s="225"/>
      <c r="E358" s="225"/>
      <c r="F358" s="225"/>
      <c r="G358" s="225"/>
      <c r="H358" s="225"/>
      <c r="I358" s="225"/>
      <c r="J358" s="225"/>
      <c r="K358" s="225"/>
      <c r="L358" s="225"/>
      <c r="M358" s="225"/>
      <c r="N358" s="225"/>
      <c r="O358" s="225"/>
      <c r="P358" s="225"/>
      <c r="Q358" s="225"/>
      <c r="R358" s="225"/>
      <c r="S358" s="225"/>
      <c r="T358" s="225"/>
      <c r="U358" s="225"/>
      <c r="V358" s="225"/>
      <c r="W358" s="225"/>
      <c r="X358" s="225"/>
    </row>
    <row r="359" spans="1:24" ht="14.25" x14ac:dyDescent="0.2">
      <c r="A359" s="225"/>
      <c r="B359" s="225"/>
      <c r="C359" s="225"/>
      <c r="D359" s="225"/>
      <c r="E359" s="225"/>
      <c r="F359" s="225"/>
      <c r="G359" s="225"/>
      <c r="H359" s="225"/>
      <c r="I359" s="225"/>
      <c r="J359" s="225"/>
      <c r="K359" s="225"/>
      <c r="L359" s="225"/>
      <c r="M359" s="225"/>
      <c r="N359" s="225"/>
      <c r="O359" s="225"/>
      <c r="P359" s="225"/>
      <c r="Q359" s="225"/>
      <c r="R359" s="225"/>
      <c r="S359" s="225"/>
      <c r="T359" s="225"/>
      <c r="U359" s="225"/>
      <c r="V359" s="225"/>
      <c r="W359" s="225"/>
      <c r="X359" s="225"/>
    </row>
    <row r="360" spans="1:24" ht="14.25" x14ac:dyDescent="0.2">
      <c r="A360" s="225"/>
      <c r="B360" s="225"/>
      <c r="C360" s="225"/>
      <c r="D360" s="225"/>
      <c r="E360" s="225"/>
      <c r="F360" s="225"/>
      <c r="G360" s="225"/>
      <c r="H360" s="225"/>
      <c r="I360" s="225"/>
      <c r="J360" s="225"/>
      <c r="K360" s="225"/>
      <c r="L360" s="225"/>
      <c r="M360" s="225"/>
      <c r="N360" s="225"/>
      <c r="O360" s="225"/>
      <c r="P360" s="225"/>
      <c r="Q360" s="225"/>
      <c r="R360" s="225"/>
      <c r="S360" s="225"/>
      <c r="T360" s="225"/>
      <c r="U360" s="225"/>
      <c r="V360" s="225"/>
      <c r="W360" s="225"/>
      <c r="X360" s="225"/>
    </row>
    <row r="361" spans="1:24" ht="14.25" x14ac:dyDescent="0.2">
      <c r="A361" s="225"/>
      <c r="B361" s="225"/>
      <c r="C361" s="225"/>
      <c r="D361" s="225"/>
      <c r="E361" s="225"/>
      <c r="F361" s="225"/>
      <c r="G361" s="225"/>
      <c r="H361" s="225"/>
      <c r="I361" s="225"/>
      <c r="J361" s="225"/>
      <c r="K361" s="225"/>
      <c r="L361" s="225"/>
      <c r="M361" s="225"/>
      <c r="N361" s="225"/>
      <c r="O361" s="225"/>
      <c r="P361" s="225"/>
      <c r="Q361" s="225"/>
      <c r="R361" s="225"/>
      <c r="S361" s="225"/>
      <c r="T361" s="225"/>
      <c r="U361" s="225"/>
      <c r="V361" s="225"/>
      <c r="W361" s="225"/>
      <c r="X361" s="225"/>
    </row>
    <row r="362" spans="1:24" ht="14.25" x14ac:dyDescent="0.2">
      <c r="A362" s="225"/>
      <c r="B362" s="225"/>
      <c r="C362" s="225"/>
      <c r="D362" s="225"/>
      <c r="E362" s="225"/>
      <c r="F362" s="225"/>
      <c r="G362" s="225"/>
      <c r="H362" s="225"/>
      <c r="I362" s="225"/>
      <c r="J362" s="225"/>
      <c r="K362" s="225"/>
      <c r="L362" s="225"/>
      <c r="M362" s="225"/>
      <c r="N362" s="225"/>
      <c r="O362" s="225"/>
      <c r="P362" s="225"/>
      <c r="Q362" s="225"/>
      <c r="R362" s="225"/>
      <c r="S362" s="225"/>
      <c r="T362" s="225"/>
      <c r="U362" s="225"/>
      <c r="V362" s="225"/>
      <c r="W362" s="225"/>
      <c r="X362" s="225"/>
    </row>
    <row r="363" spans="1:24" ht="14.25" x14ac:dyDescent="0.2">
      <c r="A363" s="225"/>
      <c r="B363" s="225"/>
      <c r="C363" s="225"/>
      <c r="D363" s="225"/>
      <c r="E363" s="225"/>
      <c r="F363" s="225"/>
      <c r="G363" s="225"/>
      <c r="H363" s="225"/>
      <c r="I363" s="225"/>
      <c r="J363" s="225"/>
      <c r="K363" s="225"/>
      <c r="L363" s="225"/>
      <c r="M363" s="225"/>
      <c r="N363" s="225"/>
      <c r="O363" s="225"/>
      <c r="P363" s="225"/>
      <c r="Q363" s="225"/>
      <c r="R363" s="225"/>
      <c r="S363" s="225"/>
      <c r="T363" s="225"/>
      <c r="U363" s="225"/>
      <c r="V363" s="225"/>
      <c r="W363" s="225"/>
      <c r="X363" s="225"/>
    </row>
    <row r="364" spans="1:24" ht="14.25" x14ac:dyDescent="0.2">
      <c r="A364" s="225"/>
      <c r="B364" s="225"/>
      <c r="C364" s="225"/>
      <c r="D364" s="225"/>
      <c r="E364" s="225"/>
      <c r="F364" s="225"/>
      <c r="G364" s="225"/>
      <c r="H364" s="225"/>
      <c r="I364" s="225"/>
      <c r="J364" s="225"/>
      <c r="K364" s="225"/>
      <c r="L364" s="225"/>
      <c r="M364" s="225"/>
      <c r="N364" s="225"/>
      <c r="O364" s="225"/>
      <c r="P364" s="225"/>
      <c r="Q364" s="225"/>
      <c r="R364" s="225"/>
      <c r="S364" s="225"/>
      <c r="T364" s="225"/>
      <c r="U364" s="225"/>
      <c r="V364" s="225"/>
      <c r="W364" s="225"/>
      <c r="X364" s="225"/>
    </row>
    <row r="365" spans="1:24" ht="14.25" x14ac:dyDescent="0.2">
      <c r="A365" s="225"/>
      <c r="B365" s="225"/>
      <c r="C365" s="225"/>
      <c r="D365" s="225"/>
      <c r="E365" s="225"/>
      <c r="F365" s="225"/>
      <c r="G365" s="225"/>
      <c r="H365" s="225"/>
      <c r="I365" s="225"/>
      <c r="J365" s="225"/>
      <c r="K365" s="225"/>
      <c r="L365" s="225"/>
      <c r="M365" s="225"/>
      <c r="N365" s="225"/>
      <c r="O365" s="225"/>
      <c r="P365" s="225"/>
      <c r="Q365" s="225"/>
      <c r="R365" s="225"/>
      <c r="S365" s="225"/>
      <c r="T365" s="225"/>
      <c r="U365" s="225"/>
      <c r="V365" s="225"/>
      <c r="W365" s="225"/>
      <c r="X365" s="225"/>
    </row>
    <row r="366" spans="1:24" ht="14.25" x14ac:dyDescent="0.2">
      <c r="A366" s="225"/>
      <c r="B366" s="225"/>
      <c r="C366" s="225"/>
      <c r="D366" s="225"/>
      <c r="E366" s="225"/>
      <c r="F366" s="225"/>
      <c r="G366" s="225"/>
      <c r="H366" s="225"/>
      <c r="I366" s="225"/>
      <c r="J366" s="225"/>
      <c r="K366" s="225"/>
      <c r="L366" s="225"/>
      <c r="M366" s="225"/>
      <c r="N366" s="225"/>
      <c r="O366" s="225"/>
      <c r="P366" s="225"/>
      <c r="Q366" s="225"/>
      <c r="R366" s="225"/>
      <c r="S366" s="225"/>
      <c r="T366" s="225"/>
      <c r="U366" s="225"/>
      <c r="V366" s="225"/>
      <c r="W366" s="225"/>
      <c r="X366" s="225"/>
    </row>
    <row r="367" spans="1:24" ht="14.25" x14ac:dyDescent="0.2">
      <c r="A367" s="225"/>
      <c r="B367" s="225"/>
      <c r="C367" s="225"/>
      <c r="D367" s="225"/>
      <c r="E367" s="225"/>
      <c r="F367" s="225"/>
      <c r="G367" s="225"/>
      <c r="H367" s="225"/>
      <c r="I367" s="225"/>
      <c r="J367" s="225"/>
      <c r="K367" s="225"/>
      <c r="L367" s="225"/>
      <c r="M367" s="225"/>
      <c r="N367" s="225"/>
      <c r="O367" s="225"/>
      <c r="P367" s="225"/>
      <c r="Q367" s="225"/>
      <c r="R367" s="225"/>
      <c r="S367" s="225"/>
      <c r="T367" s="225"/>
      <c r="U367" s="225"/>
      <c r="V367" s="225"/>
      <c r="W367" s="225"/>
      <c r="X367" s="225"/>
    </row>
    <row r="368" spans="1:24" ht="14.25" x14ac:dyDescent="0.2">
      <c r="A368" s="225"/>
      <c r="B368" s="225"/>
      <c r="C368" s="225"/>
      <c r="D368" s="225"/>
      <c r="E368" s="225"/>
      <c r="F368" s="225"/>
      <c r="G368" s="225"/>
      <c r="H368" s="225"/>
      <c r="I368" s="225"/>
      <c r="J368" s="225"/>
      <c r="K368" s="225"/>
      <c r="L368" s="225"/>
      <c r="M368" s="225"/>
      <c r="N368" s="225"/>
      <c r="O368" s="225"/>
      <c r="P368" s="225"/>
      <c r="Q368" s="225"/>
      <c r="R368" s="225"/>
      <c r="S368" s="225"/>
      <c r="T368" s="225"/>
      <c r="U368" s="225"/>
      <c r="V368" s="225"/>
      <c r="W368" s="225"/>
      <c r="X368" s="225"/>
    </row>
    <row r="369" spans="1:24" ht="14.25" x14ac:dyDescent="0.2">
      <c r="A369" s="225"/>
      <c r="B369" s="225"/>
      <c r="C369" s="225"/>
      <c r="D369" s="225"/>
      <c r="E369" s="225"/>
      <c r="F369" s="225"/>
      <c r="G369" s="225"/>
      <c r="H369" s="225"/>
      <c r="I369" s="225"/>
      <c r="J369" s="225"/>
      <c r="K369" s="225"/>
      <c r="L369" s="225"/>
      <c r="M369" s="225"/>
      <c r="N369" s="225"/>
      <c r="O369" s="225"/>
      <c r="P369" s="225"/>
      <c r="Q369" s="225"/>
      <c r="R369" s="225"/>
      <c r="S369" s="225"/>
      <c r="T369" s="225"/>
      <c r="U369" s="225"/>
      <c r="V369" s="225"/>
      <c r="W369" s="225"/>
      <c r="X369" s="225"/>
    </row>
    <row r="370" spans="1:24" ht="14.25" x14ac:dyDescent="0.2">
      <c r="A370" s="225"/>
      <c r="B370" s="225"/>
      <c r="C370" s="225"/>
      <c r="D370" s="225"/>
      <c r="E370" s="225"/>
      <c r="F370" s="225"/>
      <c r="G370" s="225"/>
      <c r="H370" s="225"/>
      <c r="I370" s="225"/>
      <c r="J370" s="225"/>
      <c r="K370" s="225"/>
      <c r="L370" s="225"/>
      <c r="M370" s="225"/>
      <c r="N370" s="225"/>
      <c r="O370" s="225"/>
      <c r="P370" s="225"/>
      <c r="Q370" s="225"/>
      <c r="R370" s="225"/>
      <c r="S370" s="225"/>
      <c r="T370" s="225"/>
      <c r="U370" s="225"/>
      <c r="V370" s="225"/>
      <c r="W370" s="225"/>
      <c r="X370" s="225"/>
    </row>
    <row r="371" spans="1:24" ht="14.25" x14ac:dyDescent="0.2">
      <c r="A371" s="225"/>
      <c r="B371" s="225"/>
      <c r="C371" s="225"/>
      <c r="D371" s="225"/>
      <c r="E371" s="225"/>
      <c r="F371" s="225"/>
      <c r="G371" s="225"/>
      <c r="H371" s="225"/>
      <c r="I371" s="225"/>
      <c r="J371" s="225"/>
      <c r="K371" s="225"/>
      <c r="L371" s="225"/>
      <c r="M371" s="225"/>
      <c r="N371" s="225"/>
      <c r="O371" s="225"/>
      <c r="P371" s="225"/>
      <c r="Q371" s="225"/>
      <c r="R371" s="225"/>
      <c r="S371" s="225"/>
      <c r="T371" s="225"/>
      <c r="U371" s="225"/>
      <c r="V371" s="225"/>
      <c r="W371" s="225"/>
      <c r="X371" s="225"/>
    </row>
    <row r="372" spans="1:24" ht="14.25" x14ac:dyDescent="0.2">
      <c r="A372" s="225"/>
      <c r="B372" s="225"/>
      <c r="C372" s="225"/>
      <c r="D372" s="225"/>
      <c r="E372" s="225"/>
      <c r="F372" s="225"/>
      <c r="G372" s="225"/>
      <c r="H372" s="225"/>
      <c r="I372" s="225"/>
      <c r="J372" s="225"/>
      <c r="K372" s="225"/>
      <c r="L372" s="225"/>
      <c r="M372" s="225"/>
      <c r="N372" s="225"/>
      <c r="O372" s="225"/>
      <c r="P372" s="225"/>
      <c r="Q372" s="225"/>
      <c r="R372" s="225"/>
      <c r="S372" s="225"/>
      <c r="T372" s="225"/>
      <c r="U372" s="225"/>
      <c r="V372" s="225"/>
      <c r="W372" s="225"/>
      <c r="X372" s="225"/>
    </row>
    <row r="373" spans="1:24" ht="14.25" x14ac:dyDescent="0.2">
      <c r="A373" s="225"/>
      <c r="B373" s="225"/>
      <c r="C373" s="225"/>
      <c r="D373" s="225"/>
      <c r="E373" s="225"/>
      <c r="F373" s="225"/>
      <c r="G373" s="225"/>
      <c r="H373" s="225"/>
      <c r="I373" s="225"/>
      <c r="J373" s="225"/>
      <c r="K373" s="225"/>
      <c r="L373" s="225"/>
      <c r="M373" s="225"/>
      <c r="N373" s="225"/>
      <c r="O373" s="225"/>
      <c r="P373" s="225"/>
      <c r="Q373" s="225"/>
      <c r="R373" s="225"/>
      <c r="S373" s="225"/>
      <c r="T373" s="225"/>
      <c r="U373" s="225"/>
      <c r="V373" s="225"/>
      <c r="W373" s="225"/>
      <c r="X373" s="225"/>
    </row>
    <row r="374" spans="1:24" ht="14.25" x14ac:dyDescent="0.2">
      <c r="A374" s="225"/>
      <c r="B374" s="225"/>
      <c r="C374" s="225"/>
      <c r="D374" s="225"/>
      <c r="E374" s="225"/>
      <c r="F374" s="225"/>
      <c r="G374" s="225"/>
      <c r="H374" s="225"/>
      <c r="I374" s="225"/>
      <c r="J374" s="225"/>
      <c r="K374" s="225"/>
      <c r="L374" s="225"/>
      <c r="M374" s="225"/>
      <c r="N374" s="225"/>
      <c r="O374" s="225"/>
      <c r="P374" s="225"/>
      <c r="Q374" s="225"/>
      <c r="R374" s="225"/>
      <c r="S374" s="225"/>
      <c r="T374" s="225"/>
      <c r="U374" s="225"/>
      <c r="V374" s="225"/>
      <c r="W374" s="225"/>
      <c r="X374" s="225"/>
    </row>
    <row r="375" spans="1:24" ht="14.25" x14ac:dyDescent="0.2">
      <c r="A375" s="225"/>
      <c r="B375" s="225"/>
      <c r="C375" s="225"/>
      <c r="D375" s="225"/>
      <c r="E375" s="225"/>
      <c r="F375" s="225"/>
      <c r="G375" s="225"/>
      <c r="H375" s="225"/>
      <c r="I375" s="225"/>
      <c r="J375" s="225"/>
      <c r="K375" s="225"/>
      <c r="L375" s="225"/>
      <c r="M375" s="225"/>
      <c r="N375" s="225"/>
      <c r="O375" s="225"/>
      <c r="P375" s="225"/>
      <c r="Q375" s="225"/>
      <c r="R375" s="225"/>
      <c r="S375" s="225"/>
      <c r="T375" s="225"/>
      <c r="U375" s="225"/>
      <c r="V375" s="225"/>
      <c r="W375" s="225"/>
      <c r="X375" s="225"/>
    </row>
    <row r="376" spans="1:24" ht="14.25" x14ac:dyDescent="0.2">
      <c r="A376" s="225"/>
      <c r="B376" s="225"/>
      <c r="C376" s="225"/>
      <c r="D376" s="225"/>
      <c r="E376" s="225"/>
      <c r="F376" s="225"/>
      <c r="G376" s="225"/>
      <c r="H376" s="225"/>
      <c r="I376" s="225"/>
      <c r="J376" s="225"/>
      <c r="K376" s="225"/>
      <c r="L376" s="225"/>
      <c r="M376" s="225"/>
      <c r="N376" s="225"/>
      <c r="O376" s="225"/>
      <c r="P376" s="225"/>
      <c r="Q376" s="225"/>
      <c r="R376" s="225"/>
      <c r="S376" s="225"/>
      <c r="T376" s="225"/>
      <c r="U376" s="225"/>
      <c r="V376" s="225"/>
      <c r="W376" s="225"/>
      <c r="X376" s="225"/>
    </row>
    <row r="377" spans="1:24" ht="14.25" x14ac:dyDescent="0.2">
      <c r="A377" s="225"/>
      <c r="B377" s="225"/>
      <c r="C377" s="225"/>
      <c r="D377" s="225"/>
      <c r="E377" s="225"/>
      <c r="F377" s="225"/>
      <c r="G377" s="225"/>
      <c r="H377" s="225"/>
      <c r="I377" s="225"/>
      <c r="J377" s="225"/>
      <c r="K377" s="225"/>
      <c r="L377" s="225"/>
      <c r="M377" s="225"/>
      <c r="N377" s="225"/>
      <c r="O377" s="225"/>
      <c r="P377" s="225"/>
      <c r="Q377" s="225"/>
      <c r="R377" s="225"/>
      <c r="S377" s="225"/>
      <c r="T377" s="225"/>
      <c r="U377" s="225"/>
      <c r="V377" s="225"/>
      <c r="W377" s="225"/>
      <c r="X377" s="225"/>
    </row>
    <row r="378" spans="1:24" ht="14.25" x14ac:dyDescent="0.2">
      <c r="A378" s="225"/>
      <c r="B378" s="225"/>
      <c r="C378" s="225"/>
      <c r="D378" s="225"/>
      <c r="E378" s="225"/>
      <c r="F378" s="225"/>
      <c r="G378" s="225"/>
      <c r="H378" s="225"/>
      <c r="I378" s="225"/>
      <c r="J378" s="225"/>
      <c r="K378" s="225"/>
      <c r="L378" s="225"/>
      <c r="M378" s="225"/>
      <c r="N378" s="225"/>
      <c r="O378" s="225"/>
      <c r="P378" s="225"/>
      <c r="Q378" s="225"/>
      <c r="R378" s="225"/>
      <c r="S378" s="225"/>
      <c r="T378" s="225"/>
      <c r="U378" s="225"/>
      <c r="V378" s="225"/>
      <c r="W378" s="225"/>
      <c r="X378" s="225"/>
    </row>
    <row r="379" spans="1:24" ht="14.25" x14ac:dyDescent="0.2">
      <c r="A379" s="225"/>
      <c r="B379" s="225"/>
      <c r="C379" s="225"/>
      <c r="D379" s="225"/>
      <c r="E379" s="225"/>
      <c r="F379" s="225"/>
      <c r="G379" s="225"/>
      <c r="H379" s="225"/>
      <c r="I379" s="225"/>
      <c r="J379" s="225"/>
      <c r="K379" s="225"/>
      <c r="L379" s="225"/>
      <c r="M379" s="225"/>
      <c r="N379" s="225"/>
      <c r="O379" s="225"/>
      <c r="P379" s="225"/>
      <c r="Q379" s="225"/>
      <c r="R379" s="225"/>
      <c r="S379" s="225"/>
      <c r="T379" s="225"/>
      <c r="U379" s="225"/>
      <c r="V379" s="225"/>
      <c r="W379" s="225"/>
      <c r="X379" s="225"/>
    </row>
    <row r="380" spans="1:24" ht="14.25" x14ac:dyDescent="0.2">
      <c r="A380" s="225"/>
      <c r="B380" s="225"/>
      <c r="C380" s="225"/>
      <c r="D380" s="225"/>
      <c r="E380" s="225"/>
      <c r="F380" s="225"/>
      <c r="G380" s="225"/>
      <c r="H380" s="225"/>
      <c r="I380" s="225"/>
      <c r="J380" s="225"/>
      <c r="K380" s="225"/>
      <c r="L380" s="225"/>
      <c r="M380" s="225"/>
      <c r="N380" s="225"/>
      <c r="O380" s="225"/>
      <c r="P380" s="225"/>
      <c r="Q380" s="225"/>
      <c r="R380" s="225"/>
      <c r="S380" s="225"/>
      <c r="T380" s="225"/>
      <c r="U380" s="225"/>
      <c r="V380" s="225"/>
      <c r="W380" s="225"/>
      <c r="X380" s="225"/>
    </row>
    <row r="381" spans="1:24" ht="14.25" x14ac:dyDescent="0.2">
      <c r="A381" s="225"/>
      <c r="B381" s="225"/>
      <c r="C381" s="225"/>
      <c r="D381" s="225"/>
      <c r="E381" s="225"/>
      <c r="F381" s="225"/>
      <c r="G381" s="225"/>
      <c r="H381" s="225"/>
      <c r="I381" s="225"/>
      <c r="J381" s="225"/>
      <c r="K381" s="225"/>
      <c r="L381" s="225"/>
      <c r="M381" s="225"/>
      <c r="N381" s="225"/>
      <c r="O381" s="225"/>
      <c r="P381" s="225"/>
      <c r="Q381" s="225"/>
      <c r="R381" s="225"/>
      <c r="S381" s="225"/>
      <c r="T381" s="225"/>
      <c r="U381" s="225"/>
      <c r="V381" s="225"/>
      <c r="W381" s="225"/>
      <c r="X381" s="225"/>
    </row>
    <row r="382" spans="1:24" ht="14.25" x14ac:dyDescent="0.2">
      <c r="A382" s="225"/>
      <c r="B382" s="225"/>
      <c r="C382" s="225"/>
      <c r="D382" s="225"/>
      <c r="E382" s="225"/>
      <c r="F382" s="225"/>
      <c r="G382" s="225"/>
      <c r="H382" s="225"/>
      <c r="I382" s="225"/>
      <c r="J382" s="225"/>
      <c r="K382" s="225"/>
      <c r="L382" s="225"/>
      <c r="M382" s="225"/>
      <c r="N382" s="225"/>
      <c r="O382" s="225"/>
      <c r="P382" s="225"/>
      <c r="Q382" s="225"/>
      <c r="R382" s="225"/>
      <c r="S382" s="225"/>
      <c r="T382" s="225"/>
      <c r="U382" s="225"/>
      <c r="V382" s="225"/>
      <c r="W382" s="225"/>
      <c r="X382" s="225"/>
    </row>
    <row r="383" spans="1:24" ht="14.25" x14ac:dyDescent="0.2">
      <c r="A383" s="225"/>
      <c r="B383" s="225"/>
      <c r="C383" s="225"/>
      <c r="D383" s="225"/>
      <c r="E383" s="225"/>
      <c r="F383" s="225"/>
      <c r="G383" s="225"/>
      <c r="H383" s="225"/>
      <c r="I383" s="225"/>
      <c r="J383" s="225"/>
      <c r="K383" s="225"/>
      <c r="L383" s="225"/>
      <c r="M383" s="225"/>
      <c r="N383" s="225"/>
      <c r="O383" s="225"/>
      <c r="P383" s="225"/>
      <c r="Q383" s="225"/>
      <c r="R383" s="225"/>
      <c r="S383" s="225"/>
      <c r="T383" s="225"/>
      <c r="U383" s="225"/>
      <c r="V383" s="225"/>
      <c r="W383" s="225"/>
      <c r="X383" s="225"/>
    </row>
    <row r="384" spans="1:24" ht="14.25" x14ac:dyDescent="0.2">
      <c r="A384" s="225"/>
      <c r="B384" s="225"/>
      <c r="C384" s="225"/>
      <c r="D384" s="225"/>
      <c r="E384" s="225"/>
      <c r="F384" s="225"/>
      <c r="G384" s="225"/>
      <c r="H384" s="225"/>
      <c r="I384" s="225"/>
      <c r="J384" s="225"/>
      <c r="K384" s="225"/>
      <c r="L384" s="225"/>
      <c r="M384" s="225"/>
      <c r="N384" s="225"/>
      <c r="O384" s="225"/>
      <c r="P384" s="225"/>
      <c r="Q384" s="225"/>
      <c r="R384" s="225"/>
      <c r="S384" s="225"/>
      <c r="T384" s="225"/>
      <c r="U384" s="225"/>
      <c r="V384" s="225"/>
      <c r="W384" s="225"/>
      <c r="X384" s="225"/>
    </row>
    <row r="385" spans="1:24" ht="14.25" x14ac:dyDescent="0.2">
      <c r="A385" s="225"/>
      <c r="B385" s="225"/>
      <c r="C385" s="225"/>
      <c r="D385" s="225"/>
      <c r="E385" s="225"/>
      <c r="F385" s="225"/>
      <c r="G385" s="225"/>
      <c r="H385" s="225"/>
      <c r="I385" s="225"/>
      <c r="J385" s="225"/>
      <c r="K385" s="225"/>
      <c r="L385" s="225"/>
      <c r="M385" s="225"/>
      <c r="N385" s="225"/>
      <c r="O385" s="225"/>
      <c r="P385" s="225"/>
      <c r="Q385" s="225"/>
      <c r="R385" s="225"/>
      <c r="S385" s="225"/>
      <c r="T385" s="225"/>
      <c r="U385" s="225"/>
      <c r="V385" s="225"/>
      <c r="W385" s="225"/>
      <c r="X385" s="225"/>
    </row>
    <row r="386" spans="1:24" ht="14.25" x14ac:dyDescent="0.2">
      <c r="A386" s="225"/>
      <c r="B386" s="225"/>
      <c r="C386" s="225"/>
      <c r="D386" s="225"/>
      <c r="E386" s="225"/>
      <c r="F386" s="225"/>
      <c r="G386" s="225"/>
      <c r="H386" s="225"/>
      <c r="I386" s="225"/>
      <c r="J386" s="225"/>
      <c r="K386" s="225"/>
      <c r="L386" s="225"/>
      <c r="M386" s="225"/>
      <c r="N386" s="225"/>
      <c r="O386" s="225"/>
      <c r="P386" s="225"/>
      <c r="Q386" s="225"/>
      <c r="R386" s="225"/>
      <c r="S386" s="225"/>
      <c r="T386" s="225"/>
      <c r="U386" s="225"/>
      <c r="V386" s="225"/>
      <c r="W386" s="225"/>
      <c r="X386" s="225"/>
    </row>
    <row r="387" spans="1:24" ht="14.25" x14ac:dyDescent="0.2">
      <c r="A387" s="225"/>
      <c r="B387" s="225"/>
      <c r="C387" s="225"/>
      <c r="D387" s="225"/>
      <c r="E387" s="225"/>
      <c r="F387" s="225"/>
      <c r="G387" s="225"/>
      <c r="H387" s="225"/>
      <c r="I387" s="225"/>
      <c r="J387" s="225"/>
      <c r="K387" s="225"/>
      <c r="L387" s="225"/>
      <c r="M387" s="225"/>
      <c r="N387" s="225"/>
      <c r="O387" s="225"/>
      <c r="P387" s="225"/>
      <c r="Q387" s="225"/>
      <c r="R387" s="225"/>
      <c r="S387" s="225"/>
      <c r="T387" s="225"/>
      <c r="U387" s="225"/>
      <c r="V387" s="225"/>
      <c r="W387" s="225"/>
      <c r="X387" s="225"/>
    </row>
    <row r="388" spans="1:24" ht="14.25" x14ac:dyDescent="0.2">
      <c r="A388" s="225"/>
      <c r="B388" s="225"/>
      <c r="C388" s="225"/>
      <c r="D388" s="225"/>
      <c r="E388" s="225"/>
      <c r="F388" s="225"/>
      <c r="G388" s="225"/>
      <c r="H388" s="225"/>
      <c r="I388" s="225"/>
      <c r="J388" s="225"/>
      <c r="K388" s="225"/>
      <c r="L388" s="225"/>
      <c r="M388" s="225"/>
      <c r="N388" s="225"/>
      <c r="O388" s="225"/>
      <c r="P388" s="225"/>
      <c r="Q388" s="225"/>
      <c r="R388" s="225"/>
      <c r="S388" s="225"/>
      <c r="T388" s="225"/>
      <c r="U388" s="225"/>
      <c r="V388" s="225"/>
      <c r="W388" s="225"/>
      <c r="X388" s="225"/>
    </row>
    <row r="389" spans="1:24" ht="14.25" x14ac:dyDescent="0.2">
      <c r="A389" s="225"/>
      <c r="B389" s="225"/>
      <c r="C389" s="225"/>
      <c r="D389" s="225"/>
      <c r="E389" s="225"/>
      <c r="F389" s="225"/>
      <c r="G389" s="225"/>
      <c r="H389" s="225"/>
      <c r="I389" s="225"/>
      <c r="J389" s="225"/>
      <c r="K389" s="225"/>
      <c r="L389" s="225"/>
      <c r="M389" s="225"/>
      <c r="N389" s="225"/>
      <c r="O389" s="225"/>
      <c r="P389" s="225"/>
      <c r="Q389" s="225"/>
      <c r="R389" s="225"/>
      <c r="S389" s="225"/>
      <c r="T389" s="225"/>
      <c r="U389" s="225"/>
      <c r="V389" s="225"/>
      <c r="W389" s="225"/>
      <c r="X389" s="225"/>
    </row>
    <row r="390" spans="1:24" ht="14.25" x14ac:dyDescent="0.2">
      <c r="A390" s="225"/>
      <c r="B390" s="225"/>
      <c r="C390" s="225"/>
      <c r="D390" s="225"/>
      <c r="E390" s="225"/>
      <c r="F390" s="225"/>
      <c r="G390" s="225"/>
      <c r="H390" s="225"/>
      <c r="I390" s="225"/>
      <c r="J390" s="225"/>
      <c r="K390" s="225"/>
      <c r="L390" s="225"/>
      <c r="M390" s="225"/>
      <c r="N390" s="225"/>
      <c r="O390" s="225"/>
      <c r="P390" s="225"/>
      <c r="Q390" s="225"/>
      <c r="R390" s="225"/>
      <c r="S390" s="225"/>
      <c r="T390" s="225"/>
      <c r="U390" s="225"/>
      <c r="V390" s="225"/>
      <c r="W390" s="225"/>
      <c r="X390" s="225"/>
    </row>
    <row r="391" spans="1:24" ht="14.25" x14ac:dyDescent="0.2">
      <c r="A391" s="225"/>
      <c r="B391" s="225"/>
      <c r="C391" s="225"/>
      <c r="D391" s="225"/>
      <c r="E391" s="225"/>
      <c r="F391" s="225"/>
      <c r="G391" s="225"/>
      <c r="H391" s="225"/>
      <c r="I391" s="225"/>
      <c r="J391" s="225"/>
      <c r="K391" s="225"/>
      <c r="L391" s="225"/>
      <c r="M391" s="225"/>
      <c r="N391" s="225"/>
      <c r="O391" s="225"/>
      <c r="P391" s="225"/>
      <c r="Q391" s="225"/>
      <c r="R391" s="225"/>
      <c r="S391" s="225"/>
      <c r="T391" s="225"/>
      <c r="U391" s="225"/>
      <c r="V391" s="225"/>
      <c r="W391" s="225"/>
      <c r="X391" s="225"/>
    </row>
    <row r="392" spans="1:24" ht="14.25" x14ac:dyDescent="0.2">
      <c r="A392" s="225"/>
      <c r="B392" s="225"/>
      <c r="C392" s="225"/>
      <c r="D392" s="225"/>
      <c r="E392" s="225"/>
      <c r="F392" s="225"/>
      <c r="G392" s="225"/>
      <c r="H392" s="225"/>
      <c r="I392" s="225"/>
      <c r="J392" s="225"/>
      <c r="K392" s="225"/>
      <c r="L392" s="225"/>
      <c r="M392" s="225"/>
      <c r="N392" s="225"/>
      <c r="O392" s="225"/>
      <c r="P392" s="225"/>
      <c r="Q392" s="225"/>
      <c r="R392" s="225"/>
      <c r="S392" s="225"/>
      <c r="T392" s="225"/>
      <c r="U392" s="225"/>
      <c r="V392" s="225"/>
      <c r="W392" s="225"/>
      <c r="X392" s="225"/>
    </row>
    <row r="393" spans="1:24" ht="14.25" x14ac:dyDescent="0.2">
      <c r="A393" s="225"/>
      <c r="B393" s="225"/>
      <c r="C393" s="225"/>
      <c r="D393" s="225"/>
      <c r="E393" s="225"/>
      <c r="F393" s="225"/>
      <c r="G393" s="225"/>
      <c r="H393" s="225"/>
      <c r="I393" s="225"/>
      <c r="J393" s="225"/>
      <c r="K393" s="225"/>
      <c r="L393" s="225"/>
      <c r="M393" s="225"/>
      <c r="N393" s="225"/>
      <c r="O393" s="225"/>
      <c r="P393" s="225"/>
      <c r="Q393" s="225"/>
      <c r="R393" s="225"/>
      <c r="S393" s="225"/>
      <c r="T393" s="225"/>
      <c r="U393" s="225"/>
      <c r="V393" s="225"/>
      <c r="W393" s="225"/>
      <c r="X393" s="225"/>
    </row>
    <row r="394" spans="1:24" ht="14.25" x14ac:dyDescent="0.2">
      <c r="A394" s="225"/>
      <c r="B394" s="225"/>
      <c r="C394" s="225"/>
      <c r="D394" s="225"/>
      <c r="E394" s="225"/>
      <c r="F394" s="225"/>
      <c r="G394" s="225"/>
      <c r="H394" s="225"/>
      <c r="I394" s="225"/>
      <c r="J394" s="225"/>
      <c r="K394" s="225"/>
      <c r="L394" s="225"/>
      <c r="M394" s="225"/>
      <c r="N394" s="225"/>
      <c r="O394" s="225"/>
      <c r="P394" s="225"/>
      <c r="Q394" s="225"/>
      <c r="R394" s="225"/>
      <c r="S394" s="225"/>
      <c r="T394" s="225"/>
      <c r="U394" s="225"/>
      <c r="V394" s="225"/>
      <c r="W394" s="225"/>
      <c r="X394" s="225"/>
    </row>
    <row r="395" spans="1:24" ht="14.25" x14ac:dyDescent="0.2">
      <c r="A395" s="225"/>
      <c r="B395" s="225"/>
      <c r="C395" s="225"/>
      <c r="D395" s="225"/>
      <c r="E395" s="225"/>
      <c r="F395" s="225"/>
      <c r="G395" s="225"/>
      <c r="H395" s="225"/>
      <c r="I395" s="225"/>
      <c r="J395" s="225"/>
      <c r="K395" s="225"/>
      <c r="L395" s="225"/>
      <c r="M395" s="225"/>
      <c r="N395" s="225"/>
      <c r="O395" s="225"/>
      <c r="P395" s="225"/>
      <c r="Q395" s="225"/>
      <c r="R395" s="225"/>
      <c r="S395" s="225"/>
      <c r="T395" s="225"/>
      <c r="U395" s="225"/>
      <c r="V395" s="225"/>
      <c r="W395" s="225"/>
      <c r="X395" s="225"/>
    </row>
    <row r="396" spans="1:24" ht="14.25" x14ac:dyDescent="0.2">
      <c r="A396" s="225"/>
      <c r="B396" s="225"/>
      <c r="C396" s="225"/>
      <c r="D396" s="225"/>
      <c r="E396" s="225"/>
      <c r="F396" s="225"/>
      <c r="G396" s="225"/>
      <c r="H396" s="225"/>
      <c r="I396" s="225"/>
      <c r="J396" s="225"/>
      <c r="K396" s="225"/>
      <c r="L396" s="225"/>
      <c r="M396" s="225"/>
      <c r="N396" s="225"/>
      <c r="O396" s="225"/>
      <c r="P396" s="225"/>
      <c r="Q396" s="225"/>
      <c r="R396" s="225"/>
      <c r="S396" s="225"/>
      <c r="T396" s="225"/>
      <c r="U396" s="225"/>
      <c r="V396" s="225"/>
      <c r="W396" s="225"/>
      <c r="X396" s="225"/>
    </row>
    <row r="397" spans="1:24" ht="14.25" x14ac:dyDescent="0.2">
      <c r="A397" s="225"/>
      <c r="B397" s="225"/>
      <c r="C397" s="225"/>
      <c r="D397" s="225"/>
      <c r="E397" s="225"/>
      <c r="F397" s="225"/>
      <c r="G397" s="225"/>
      <c r="H397" s="225"/>
      <c r="I397" s="225"/>
      <c r="J397" s="225"/>
      <c r="K397" s="225"/>
      <c r="L397" s="225"/>
      <c r="M397" s="225"/>
      <c r="N397" s="225"/>
      <c r="O397" s="225"/>
      <c r="P397" s="225"/>
      <c r="Q397" s="225"/>
      <c r="R397" s="225"/>
      <c r="S397" s="225"/>
      <c r="T397" s="225"/>
      <c r="U397" s="225"/>
      <c r="V397" s="225"/>
      <c r="W397" s="225"/>
      <c r="X397" s="225"/>
    </row>
    <row r="398" spans="1:24" ht="14.25" x14ac:dyDescent="0.2">
      <c r="A398" s="225"/>
      <c r="B398" s="225"/>
      <c r="C398" s="225"/>
      <c r="D398" s="225"/>
      <c r="E398" s="225"/>
      <c r="F398" s="225"/>
      <c r="G398" s="225"/>
      <c r="H398" s="225"/>
      <c r="I398" s="225"/>
      <c r="J398" s="225"/>
      <c r="K398" s="225"/>
      <c r="L398" s="225"/>
      <c r="M398" s="225"/>
      <c r="N398" s="225"/>
      <c r="O398" s="225"/>
      <c r="P398" s="225"/>
      <c r="Q398" s="225"/>
      <c r="R398" s="225"/>
      <c r="S398" s="225"/>
      <c r="T398" s="225"/>
      <c r="U398" s="225"/>
      <c r="V398" s="225"/>
      <c r="W398" s="225"/>
      <c r="X398" s="225"/>
    </row>
    <row r="399" spans="1:24" ht="14.25" x14ac:dyDescent="0.2">
      <c r="A399" s="225"/>
      <c r="B399" s="225"/>
      <c r="C399" s="225"/>
      <c r="D399" s="225"/>
      <c r="E399" s="225"/>
      <c r="F399" s="225"/>
      <c r="G399" s="225"/>
      <c r="H399" s="225"/>
      <c r="I399" s="225"/>
      <c r="J399" s="225"/>
      <c r="K399" s="225"/>
      <c r="L399" s="225"/>
      <c r="M399" s="225"/>
      <c r="N399" s="225"/>
      <c r="O399" s="225"/>
      <c r="P399" s="225"/>
      <c r="Q399" s="225"/>
      <c r="R399" s="225"/>
      <c r="S399" s="225"/>
      <c r="T399" s="225"/>
      <c r="U399" s="225"/>
      <c r="V399" s="225"/>
      <c r="W399" s="225"/>
      <c r="X399" s="225"/>
    </row>
    <row r="400" spans="1:24" ht="14.25" x14ac:dyDescent="0.2">
      <c r="A400" s="225"/>
      <c r="B400" s="225"/>
      <c r="C400" s="225"/>
      <c r="D400" s="225"/>
      <c r="E400" s="225"/>
      <c r="F400" s="225"/>
      <c r="G400" s="225"/>
      <c r="H400" s="225"/>
      <c r="I400" s="225"/>
      <c r="J400" s="225"/>
      <c r="K400" s="225"/>
      <c r="L400" s="225"/>
      <c r="M400" s="225"/>
      <c r="N400" s="225"/>
      <c r="O400" s="225"/>
      <c r="P400" s="225"/>
      <c r="Q400" s="225"/>
      <c r="R400" s="225"/>
      <c r="S400" s="225"/>
      <c r="T400" s="225"/>
      <c r="U400" s="225"/>
      <c r="V400" s="225"/>
      <c r="W400" s="225"/>
      <c r="X400" s="225"/>
    </row>
    <row r="401" spans="1:24" ht="14.25" x14ac:dyDescent="0.2">
      <c r="A401" s="225"/>
      <c r="B401" s="225"/>
      <c r="C401" s="225"/>
      <c r="D401" s="225"/>
      <c r="E401" s="225"/>
      <c r="F401" s="225"/>
      <c r="G401" s="225"/>
      <c r="H401" s="225"/>
      <c r="I401" s="225"/>
      <c r="J401" s="225"/>
      <c r="K401" s="225"/>
      <c r="L401" s="225"/>
      <c r="M401" s="225"/>
      <c r="N401" s="225"/>
      <c r="O401" s="225"/>
      <c r="P401" s="225"/>
      <c r="Q401" s="225"/>
      <c r="R401" s="225"/>
      <c r="S401" s="225"/>
      <c r="T401" s="225"/>
      <c r="U401" s="225"/>
      <c r="V401" s="225"/>
      <c r="W401" s="225"/>
      <c r="X401" s="225"/>
    </row>
    <row r="402" spans="1:24" ht="14.25" x14ac:dyDescent="0.2">
      <c r="A402" s="225"/>
      <c r="B402" s="225"/>
      <c r="C402" s="225"/>
      <c r="D402" s="225"/>
      <c r="E402" s="225"/>
      <c r="F402" s="225"/>
      <c r="G402" s="225"/>
      <c r="H402" s="225"/>
      <c r="I402" s="225"/>
      <c r="J402" s="225"/>
      <c r="K402" s="225"/>
      <c r="L402" s="225"/>
      <c r="M402" s="225"/>
      <c r="N402" s="225"/>
      <c r="O402" s="225"/>
      <c r="P402" s="225"/>
      <c r="Q402" s="225"/>
      <c r="R402" s="225"/>
      <c r="S402" s="225"/>
      <c r="T402" s="225"/>
      <c r="U402" s="225"/>
      <c r="V402" s="225"/>
      <c r="W402" s="225"/>
      <c r="X402" s="225"/>
    </row>
    <row r="403" spans="1:24" ht="14.25" x14ac:dyDescent="0.2">
      <c r="A403" s="225"/>
      <c r="B403" s="225"/>
      <c r="C403" s="225"/>
      <c r="D403" s="225"/>
      <c r="E403" s="225"/>
      <c r="F403" s="225"/>
      <c r="G403" s="225"/>
      <c r="H403" s="225"/>
      <c r="I403" s="225"/>
      <c r="J403" s="225"/>
      <c r="K403" s="225"/>
      <c r="L403" s="225"/>
      <c r="M403" s="225"/>
      <c r="N403" s="225"/>
      <c r="O403" s="225"/>
      <c r="P403" s="225"/>
      <c r="Q403" s="225"/>
      <c r="R403" s="225"/>
      <c r="S403" s="225"/>
      <c r="T403" s="225"/>
      <c r="U403" s="225"/>
      <c r="V403" s="225"/>
      <c r="W403" s="225"/>
      <c r="X403" s="225"/>
    </row>
    <row r="404" spans="1:24" ht="14.25" x14ac:dyDescent="0.2">
      <c r="A404" s="225"/>
      <c r="B404" s="225"/>
      <c r="C404" s="225"/>
      <c r="D404" s="225"/>
      <c r="E404" s="225"/>
      <c r="F404" s="225"/>
      <c r="G404" s="225"/>
      <c r="H404" s="225"/>
      <c r="I404" s="225"/>
      <c r="J404" s="225"/>
      <c r="K404" s="225"/>
      <c r="L404" s="225"/>
      <c r="M404" s="225"/>
      <c r="N404" s="225"/>
      <c r="O404" s="225"/>
      <c r="P404" s="225"/>
      <c r="Q404" s="225"/>
      <c r="R404" s="225"/>
      <c r="S404" s="225"/>
      <c r="T404" s="225"/>
      <c r="U404" s="225"/>
      <c r="V404" s="225"/>
      <c r="W404" s="225"/>
      <c r="X404" s="225"/>
    </row>
    <row r="405" spans="1:24" ht="14.25" x14ac:dyDescent="0.2">
      <c r="A405" s="225"/>
      <c r="B405" s="225"/>
      <c r="C405" s="225"/>
      <c r="D405" s="225"/>
      <c r="E405" s="225"/>
      <c r="F405" s="225"/>
      <c r="G405" s="225"/>
      <c r="H405" s="225"/>
      <c r="I405" s="225"/>
      <c r="J405" s="225"/>
      <c r="K405" s="225"/>
      <c r="L405" s="225"/>
      <c r="M405" s="225"/>
      <c r="N405" s="225"/>
      <c r="O405" s="225"/>
      <c r="P405" s="225"/>
      <c r="Q405" s="225"/>
      <c r="R405" s="225"/>
      <c r="S405" s="225"/>
      <c r="T405" s="225"/>
      <c r="U405" s="225"/>
      <c r="V405" s="225"/>
      <c r="W405" s="225"/>
      <c r="X405" s="225"/>
    </row>
    <row r="406" spans="1:24" ht="14.25" x14ac:dyDescent="0.2">
      <c r="A406" s="225"/>
      <c r="B406" s="225"/>
      <c r="C406" s="225"/>
      <c r="D406" s="225"/>
      <c r="E406" s="225"/>
      <c r="F406" s="225"/>
      <c r="G406" s="225"/>
      <c r="H406" s="225"/>
      <c r="I406" s="225"/>
      <c r="J406" s="225"/>
      <c r="K406" s="225"/>
      <c r="L406" s="225"/>
      <c r="M406" s="225"/>
      <c r="N406" s="225"/>
      <c r="O406" s="225"/>
      <c r="P406" s="225"/>
      <c r="Q406" s="225"/>
      <c r="R406" s="225"/>
      <c r="S406" s="225"/>
      <c r="T406" s="225"/>
      <c r="U406" s="225"/>
      <c r="V406" s="225"/>
      <c r="W406" s="225"/>
      <c r="X406" s="225"/>
    </row>
    <row r="407" spans="1:24" ht="14.25" x14ac:dyDescent="0.2">
      <c r="A407" s="225"/>
      <c r="B407" s="225"/>
      <c r="C407" s="225"/>
      <c r="D407" s="225"/>
      <c r="E407" s="225"/>
      <c r="F407" s="225"/>
      <c r="G407" s="225"/>
      <c r="H407" s="225"/>
      <c r="I407" s="225"/>
      <c r="J407" s="225"/>
      <c r="K407" s="225"/>
      <c r="L407" s="225"/>
      <c r="M407" s="225"/>
      <c r="N407" s="225"/>
      <c r="O407" s="225"/>
      <c r="P407" s="225"/>
      <c r="Q407" s="225"/>
      <c r="R407" s="225"/>
      <c r="S407" s="225"/>
      <c r="T407" s="225"/>
      <c r="U407" s="225"/>
      <c r="V407" s="225"/>
      <c r="W407" s="225"/>
      <c r="X407" s="225"/>
    </row>
    <row r="408" spans="1:24" ht="14.25" x14ac:dyDescent="0.2">
      <c r="A408" s="225"/>
      <c r="B408" s="225"/>
      <c r="C408" s="225"/>
      <c r="D408" s="225"/>
      <c r="E408" s="225"/>
      <c r="F408" s="225"/>
      <c r="G408" s="225"/>
      <c r="H408" s="225"/>
      <c r="I408" s="225"/>
      <c r="J408" s="225"/>
      <c r="K408" s="225"/>
      <c r="L408" s="225"/>
      <c r="M408" s="225"/>
      <c r="N408" s="225"/>
      <c r="O408" s="225"/>
      <c r="P408" s="225"/>
      <c r="Q408" s="225"/>
      <c r="R408" s="225"/>
      <c r="S408" s="225"/>
      <c r="T408" s="225"/>
      <c r="U408" s="225"/>
      <c r="V408" s="225"/>
      <c r="W408" s="225"/>
      <c r="X408" s="225"/>
    </row>
    <row r="409" spans="1:24" ht="14.25" x14ac:dyDescent="0.2">
      <c r="A409" s="225"/>
      <c r="B409" s="225"/>
      <c r="C409" s="225"/>
      <c r="D409" s="225"/>
      <c r="E409" s="225"/>
      <c r="F409" s="225"/>
      <c r="G409" s="225"/>
      <c r="H409" s="225"/>
      <c r="I409" s="225"/>
      <c r="J409" s="225"/>
      <c r="K409" s="225"/>
      <c r="L409" s="225"/>
      <c r="M409" s="225"/>
      <c r="N409" s="225"/>
      <c r="O409" s="225"/>
      <c r="P409" s="225"/>
      <c r="Q409" s="225"/>
      <c r="R409" s="225"/>
      <c r="S409" s="225"/>
      <c r="T409" s="225"/>
      <c r="U409" s="225"/>
      <c r="V409" s="225"/>
      <c r="W409" s="225"/>
      <c r="X409" s="225"/>
    </row>
    <row r="410" spans="1:24" ht="14.25" x14ac:dyDescent="0.2">
      <c r="A410" s="225"/>
      <c r="B410" s="225"/>
      <c r="C410" s="225"/>
      <c r="D410" s="225"/>
      <c r="E410" s="225"/>
      <c r="F410" s="225"/>
      <c r="G410" s="225"/>
      <c r="H410" s="225"/>
      <c r="I410" s="225"/>
      <c r="J410" s="225"/>
      <c r="K410" s="225"/>
      <c r="L410" s="225"/>
      <c r="M410" s="225"/>
      <c r="N410" s="225"/>
      <c r="O410" s="225"/>
      <c r="P410" s="225"/>
      <c r="Q410" s="225"/>
      <c r="R410" s="225"/>
      <c r="S410" s="225"/>
      <c r="T410" s="225"/>
      <c r="U410" s="225"/>
      <c r="V410" s="225"/>
      <c r="W410" s="225"/>
      <c r="X410" s="225"/>
    </row>
    <row r="411" spans="1:24" ht="14.25" x14ac:dyDescent="0.2">
      <c r="A411" s="225"/>
      <c r="B411" s="225"/>
      <c r="C411" s="225"/>
      <c r="D411" s="225"/>
      <c r="E411" s="225"/>
      <c r="F411" s="225"/>
      <c r="G411" s="225"/>
      <c r="H411" s="225"/>
      <c r="I411" s="225"/>
      <c r="J411" s="225"/>
      <c r="K411" s="225"/>
      <c r="L411" s="225"/>
      <c r="M411" s="225"/>
      <c r="N411" s="225"/>
      <c r="O411" s="225"/>
      <c r="P411" s="225"/>
      <c r="Q411" s="225"/>
      <c r="R411" s="225"/>
      <c r="S411" s="225"/>
      <c r="T411" s="225"/>
      <c r="U411" s="225"/>
      <c r="V411" s="225"/>
      <c r="W411" s="225"/>
      <c r="X411" s="225"/>
    </row>
    <row r="412" spans="1:24" ht="14.25" x14ac:dyDescent="0.2">
      <c r="A412" s="225"/>
      <c r="B412" s="225"/>
      <c r="C412" s="225"/>
      <c r="D412" s="225"/>
      <c r="E412" s="225"/>
      <c r="F412" s="225"/>
      <c r="G412" s="225"/>
      <c r="H412" s="225"/>
      <c r="I412" s="225"/>
      <c r="J412" s="225"/>
      <c r="K412" s="225"/>
      <c r="L412" s="225"/>
      <c r="M412" s="225"/>
      <c r="N412" s="225"/>
      <c r="O412" s="225"/>
      <c r="P412" s="225"/>
      <c r="Q412" s="225"/>
      <c r="R412" s="225"/>
      <c r="S412" s="225"/>
      <c r="T412" s="225"/>
      <c r="U412" s="225"/>
      <c r="V412" s="225"/>
      <c r="W412" s="225"/>
      <c r="X412" s="225"/>
    </row>
    <row r="413" spans="1:24" ht="14.25" x14ac:dyDescent="0.2">
      <c r="A413" s="225"/>
      <c r="B413" s="225"/>
      <c r="C413" s="225"/>
      <c r="D413" s="225"/>
      <c r="E413" s="225"/>
      <c r="F413" s="225"/>
      <c r="G413" s="225"/>
      <c r="H413" s="225"/>
      <c r="I413" s="225"/>
      <c r="J413" s="225"/>
      <c r="K413" s="225"/>
      <c r="L413" s="225"/>
      <c r="M413" s="225"/>
      <c r="N413" s="225"/>
      <c r="O413" s="225"/>
      <c r="P413" s="225"/>
      <c r="Q413" s="225"/>
      <c r="R413" s="225"/>
      <c r="S413" s="225"/>
      <c r="T413" s="225"/>
      <c r="U413" s="225"/>
      <c r="V413" s="225"/>
      <c r="W413" s="225"/>
      <c r="X413" s="225"/>
    </row>
    <row r="414" spans="1:24" ht="14.25" x14ac:dyDescent="0.2">
      <c r="A414" s="225"/>
      <c r="B414" s="225"/>
      <c r="C414" s="225"/>
      <c r="D414" s="225"/>
      <c r="E414" s="225"/>
      <c r="F414" s="225"/>
      <c r="G414" s="225"/>
      <c r="H414" s="225"/>
      <c r="I414" s="225"/>
      <c r="J414" s="225"/>
      <c r="K414" s="225"/>
      <c r="L414" s="225"/>
      <c r="M414" s="225"/>
      <c r="N414" s="225"/>
      <c r="O414" s="225"/>
      <c r="P414" s="225"/>
      <c r="Q414" s="225"/>
      <c r="R414" s="225"/>
      <c r="S414" s="225"/>
      <c r="T414" s="225"/>
      <c r="U414" s="225"/>
      <c r="V414" s="225"/>
      <c r="W414" s="225"/>
      <c r="X414" s="225"/>
    </row>
    <row r="415" spans="1:24" ht="14.25" x14ac:dyDescent="0.2">
      <c r="A415" s="225"/>
      <c r="B415" s="225"/>
      <c r="C415" s="225"/>
      <c r="D415" s="225"/>
      <c r="E415" s="225"/>
      <c r="F415" s="225"/>
      <c r="G415" s="225"/>
      <c r="H415" s="225"/>
      <c r="I415" s="225"/>
      <c r="J415" s="225"/>
      <c r="K415" s="225"/>
      <c r="L415" s="225"/>
      <c r="M415" s="225"/>
      <c r="N415" s="225"/>
      <c r="O415" s="225"/>
      <c r="P415" s="225"/>
      <c r="Q415" s="225"/>
      <c r="R415" s="225"/>
      <c r="S415" s="225"/>
      <c r="T415" s="225"/>
      <c r="U415" s="225"/>
      <c r="V415" s="225"/>
      <c r="W415" s="225"/>
      <c r="X415" s="225"/>
    </row>
    <row r="416" spans="1:24" ht="14.25" x14ac:dyDescent="0.2">
      <c r="A416" s="225"/>
      <c r="B416" s="225"/>
      <c r="C416" s="225"/>
      <c r="D416" s="225"/>
      <c r="E416" s="225"/>
      <c r="F416" s="225"/>
      <c r="G416" s="225"/>
      <c r="H416" s="225"/>
      <c r="I416" s="225"/>
      <c r="J416" s="225"/>
      <c r="K416" s="225"/>
      <c r="L416" s="225"/>
      <c r="M416" s="225"/>
      <c r="N416" s="225"/>
      <c r="O416" s="225"/>
      <c r="P416" s="225"/>
      <c r="Q416" s="225"/>
      <c r="R416" s="225"/>
      <c r="S416" s="225"/>
      <c r="T416" s="225"/>
      <c r="U416" s="225"/>
      <c r="V416" s="225"/>
      <c r="W416" s="225"/>
      <c r="X416" s="225"/>
    </row>
    <row r="417" spans="1:24" ht="14.25" x14ac:dyDescent="0.2">
      <c r="A417" s="225"/>
      <c r="B417" s="225"/>
      <c r="C417" s="225"/>
      <c r="D417" s="225"/>
      <c r="E417" s="225"/>
      <c r="F417" s="225"/>
      <c r="G417" s="225"/>
      <c r="H417" s="225"/>
      <c r="I417" s="225"/>
      <c r="J417" s="225"/>
      <c r="K417" s="225"/>
      <c r="L417" s="225"/>
      <c r="M417" s="225"/>
      <c r="N417" s="225"/>
      <c r="O417" s="225"/>
      <c r="P417" s="225"/>
      <c r="Q417" s="225"/>
      <c r="R417" s="225"/>
      <c r="S417" s="225"/>
      <c r="T417" s="225"/>
      <c r="U417" s="225"/>
      <c r="V417" s="225"/>
      <c r="W417" s="225"/>
      <c r="X417" s="225"/>
    </row>
    <row r="418" spans="1:24" ht="14.25" x14ac:dyDescent="0.2">
      <c r="A418" s="225"/>
      <c r="B418" s="225"/>
      <c r="C418" s="225"/>
      <c r="D418" s="225"/>
      <c r="E418" s="225"/>
      <c r="F418" s="225"/>
      <c r="G418" s="225"/>
      <c r="H418" s="225"/>
      <c r="I418" s="225"/>
      <c r="J418" s="225"/>
      <c r="K418" s="225"/>
      <c r="L418" s="225"/>
      <c r="M418" s="225"/>
      <c r="N418" s="225"/>
      <c r="O418" s="225"/>
      <c r="P418" s="225"/>
      <c r="Q418" s="225"/>
      <c r="R418" s="225"/>
      <c r="S418" s="225"/>
      <c r="T418" s="225"/>
      <c r="U418" s="225"/>
      <c r="V418" s="225"/>
      <c r="W418" s="225"/>
      <c r="X418" s="225"/>
    </row>
    <row r="419" spans="1:24" ht="14.25" x14ac:dyDescent="0.2">
      <c r="A419" s="225"/>
      <c r="B419" s="225"/>
      <c r="C419" s="225"/>
      <c r="D419" s="225"/>
      <c r="E419" s="225"/>
      <c r="F419" s="225"/>
      <c r="G419" s="225"/>
      <c r="H419" s="225"/>
      <c r="I419" s="225"/>
      <c r="J419" s="225"/>
      <c r="K419" s="225"/>
      <c r="L419" s="225"/>
      <c r="M419" s="225"/>
      <c r="N419" s="225"/>
      <c r="O419" s="225"/>
      <c r="P419" s="225"/>
      <c r="Q419" s="225"/>
      <c r="R419" s="225"/>
      <c r="S419" s="225"/>
      <c r="T419" s="225"/>
      <c r="U419" s="225"/>
      <c r="V419" s="225"/>
      <c r="W419" s="225"/>
      <c r="X419" s="225"/>
    </row>
    <row r="420" spans="1:24" ht="14.25" x14ac:dyDescent="0.2">
      <c r="A420" s="225"/>
      <c r="B420" s="225"/>
      <c r="C420" s="225"/>
      <c r="D420" s="225"/>
      <c r="E420" s="225"/>
      <c r="F420" s="225"/>
      <c r="G420" s="225"/>
      <c r="H420" s="225"/>
      <c r="I420" s="225"/>
      <c r="J420" s="225"/>
      <c r="K420" s="225"/>
      <c r="L420" s="225"/>
      <c r="M420" s="225"/>
      <c r="N420" s="225"/>
      <c r="O420" s="225"/>
      <c r="P420" s="225"/>
      <c r="Q420" s="225"/>
      <c r="R420" s="225"/>
      <c r="S420" s="225"/>
      <c r="T420" s="225"/>
      <c r="U420" s="225"/>
      <c r="V420" s="225"/>
      <c r="W420" s="225"/>
      <c r="X420" s="225"/>
    </row>
    <row r="421" spans="1:24" ht="14.25" x14ac:dyDescent="0.2">
      <c r="A421" s="225"/>
      <c r="B421" s="225"/>
      <c r="C421" s="225"/>
      <c r="D421" s="225"/>
      <c r="E421" s="225"/>
      <c r="F421" s="225"/>
      <c r="G421" s="225"/>
      <c r="H421" s="225"/>
      <c r="I421" s="225"/>
      <c r="J421" s="225"/>
      <c r="K421" s="225"/>
      <c r="L421" s="225"/>
      <c r="M421" s="225"/>
      <c r="N421" s="225"/>
      <c r="O421" s="225"/>
      <c r="P421" s="225"/>
      <c r="Q421" s="225"/>
      <c r="R421" s="225"/>
      <c r="S421" s="225"/>
      <c r="T421" s="225"/>
      <c r="U421" s="225"/>
      <c r="V421" s="225"/>
      <c r="W421" s="225"/>
      <c r="X421" s="225"/>
    </row>
    <row r="422" spans="1:24" ht="14.25" x14ac:dyDescent="0.2">
      <c r="A422" s="225"/>
      <c r="B422" s="225"/>
      <c r="C422" s="225"/>
      <c r="D422" s="225"/>
      <c r="E422" s="225"/>
      <c r="F422" s="225"/>
      <c r="G422" s="225"/>
      <c r="H422" s="225"/>
      <c r="I422" s="225"/>
      <c r="J422" s="225"/>
      <c r="K422" s="225"/>
      <c r="L422" s="225"/>
      <c r="M422" s="225"/>
      <c r="N422" s="225"/>
      <c r="O422" s="225"/>
      <c r="P422" s="225"/>
      <c r="Q422" s="225"/>
      <c r="R422" s="225"/>
      <c r="S422" s="225"/>
      <c r="T422" s="225"/>
      <c r="U422" s="225"/>
      <c r="V422" s="225"/>
      <c r="W422" s="225"/>
      <c r="X422" s="225"/>
    </row>
    <row r="423" spans="1:24" ht="14.25" x14ac:dyDescent="0.2">
      <c r="A423" s="225"/>
      <c r="B423" s="225"/>
      <c r="C423" s="225"/>
      <c r="D423" s="225"/>
      <c r="E423" s="225"/>
      <c r="F423" s="225"/>
      <c r="G423" s="225"/>
      <c r="H423" s="225"/>
      <c r="I423" s="225"/>
      <c r="J423" s="225"/>
      <c r="K423" s="225"/>
      <c r="L423" s="225"/>
      <c r="M423" s="225"/>
      <c r="N423" s="225"/>
      <c r="O423" s="225"/>
      <c r="P423" s="225"/>
      <c r="Q423" s="225"/>
      <c r="R423" s="225"/>
      <c r="S423" s="225"/>
      <c r="T423" s="225"/>
      <c r="U423" s="225"/>
      <c r="V423" s="225"/>
      <c r="W423" s="225"/>
      <c r="X423" s="225"/>
    </row>
    <row r="424" spans="1:24" ht="14.25" x14ac:dyDescent="0.2">
      <c r="A424" s="225"/>
      <c r="B424" s="225"/>
      <c r="C424" s="225"/>
      <c r="D424" s="225"/>
      <c r="E424" s="225"/>
      <c r="F424" s="225"/>
      <c r="G424" s="225"/>
      <c r="H424" s="225"/>
      <c r="I424" s="225"/>
      <c r="J424" s="225"/>
      <c r="K424" s="225"/>
      <c r="L424" s="225"/>
      <c r="M424" s="225"/>
      <c r="N424" s="225"/>
      <c r="O424" s="225"/>
      <c r="P424" s="225"/>
      <c r="Q424" s="225"/>
      <c r="R424" s="225"/>
      <c r="S424" s="225"/>
      <c r="T424" s="225"/>
      <c r="U424" s="225"/>
      <c r="V424" s="225"/>
      <c r="W424" s="225"/>
      <c r="X424" s="225"/>
    </row>
    <row r="425" spans="1:24" ht="14.25" x14ac:dyDescent="0.2">
      <c r="A425" s="225"/>
      <c r="B425" s="225"/>
      <c r="C425" s="225"/>
      <c r="D425" s="225"/>
      <c r="E425" s="225"/>
      <c r="F425" s="225"/>
      <c r="G425" s="225"/>
      <c r="H425" s="225"/>
      <c r="I425" s="225"/>
      <c r="J425" s="225"/>
      <c r="K425" s="225"/>
      <c r="L425" s="225"/>
      <c r="M425" s="225"/>
      <c r="N425" s="225"/>
      <c r="O425" s="225"/>
      <c r="P425" s="225"/>
      <c r="Q425" s="225"/>
      <c r="R425" s="225"/>
      <c r="S425" s="225"/>
      <c r="T425" s="225"/>
      <c r="U425" s="225"/>
      <c r="V425" s="225"/>
      <c r="W425" s="225"/>
      <c r="X425" s="225"/>
    </row>
    <row r="426" spans="1:24" ht="14.25" x14ac:dyDescent="0.2">
      <c r="A426" s="225"/>
      <c r="B426" s="225"/>
      <c r="C426" s="225"/>
      <c r="D426" s="225"/>
      <c r="E426" s="225"/>
      <c r="F426" s="225"/>
      <c r="G426" s="225"/>
      <c r="H426" s="225"/>
      <c r="I426" s="225"/>
      <c r="J426" s="225"/>
      <c r="K426" s="225"/>
      <c r="L426" s="225"/>
      <c r="M426" s="225"/>
      <c r="N426" s="225"/>
      <c r="O426" s="225"/>
      <c r="P426" s="225"/>
      <c r="Q426" s="225"/>
      <c r="R426" s="225"/>
      <c r="S426" s="225"/>
      <c r="T426" s="225"/>
      <c r="U426" s="225"/>
      <c r="V426" s="225"/>
      <c r="W426" s="225"/>
      <c r="X426" s="225"/>
    </row>
    <row r="427" spans="1:24" ht="14.25" x14ac:dyDescent="0.2">
      <c r="A427" s="225"/>
      <c r="B427" s="225"/>
      <c r="C427" s="225"/>
      <c r="D427" s="225"/>
      <c r="E427" s="225"/>
      <c r="F427" s="225"/>
      <c r="G427" s="225"/>
      <c r="H427" s="225"/>
      <c r="I427" s="225"/>
      <c r="J427" s="225"/>
      <c r="K427" s="225"/>
      <c r="L427" s="225"/>
      <c r="M427" s="225"/>
      <c r="N427" s="225"/>
      <c r="O427" s="225"/>
      <c r="P427" s="225"/>
      <c r="Q427" s="225"/>
      <c r="R427" s="225"/>
      <c r="S427" s="225"/>
      <c r="T427" s="225"/>
      <c r="U427" s="225"/>
      <c r="V427" s="225"/>
      <c r="W427" s="225"/>
      <c r="X427" s="225"/>
    </row>
    <row r="428" spans="1:24" ht="14.25" x14ac:dyDescent="0.2">
      <c r="A428" s="225"/>
      <c r="B428" s="225"/>
      <c r="C428" s="225"/>
      <c r="D428" s="225"/>
      <c r="E428" s="225"/>
      <c r="F428" s="225"/>
      <c r="G428" s="225"/>
      <c r="H428" s="225"/>
      <c r="I428" s="225"/>
      <c r="J428" s="225"/>
      <c r="K428" s="225"/>
      <c r="L428" s="225"/>
      <c r="M428" s="225"/>
      <c r="N428" s="225"/>
      <c r="O428" s="225"/>
      <c r="P428" s="225"/>
      <c r="Q428" s="225"/>
      <c r="R428" s="225"/>
      <c r="S428" s="225"/>
      <c r="T428" s="225"/>
      <c r="U428" s="225"/>
      <c r="V428" s="225"/>
      <c r="W428" s="225"/>
      <c r="X428" s="225"/>
    </row>
    <row r="429" spans="1:24" ht="14.25" x14ac:dyDescent="0.2">
      <c r="A429" s="225"/>
      <c r="B429" s="225"/>
      <c r="C429" s="225"/>
      <c r="D429" s="225"/>
      <c r="E429" s="225"/>
      <c r="F429" s="225"/>
      <c r="G429" s="225"/>
      <c r="H429" s="225"/>
      <c r="I429" s="225"/>
      <c r="J429" s="225"/>
      <c r="K429" s="225"/>
      <c r="L429" s="225"/>
      <c r="M429" s="225"/>
      <c r="N429" s="225"/>
      <c r="O429" s="225"/>
      <c r="P429" s="225"/>
      <c r="Q429" s="225"/>
      <c r="R429" s="225"/>
      <c r="S429" s="225"/>
      <c r="T429" s="225"/>
      <c r="U429" s="225"/>
      <c r="V429" s="225"/>
      <c r="W429" s="225"/>
      <c r="X429" s="225"/>
    </row>
    <row r="430" spans="1:24" ht="14.25" x14ac:dyDescent="0.2">
      <c r="A430" s="225"/>
      <c r="B430" s="225"/>
      <c r="C430" s="225"/>
      <c r="D430" s="225"/>
      <c r="E430" s="225"/>
      <c r="F430" s="225"/>
      <c r="G430" s="225"/>
      <c r="H430" s="225"/>
      <c r="I430" s="225"/>
      <c r="J430" s="225"/>
      <c r="K430" s="225"/>
      <c r="L430" s="225"/>
      <c r="M430" s="225"/>
      <c r="N430" s="225"/>
      <c r="O430" s="225"/>
      <c r="P430" s="225"/>
      <c r="Q430" s="225"/>
      <c r="R430" s="225"/>
      <c r="S430" s="225"/>
      <c r="T430" s="225"/>
      <c r="U430" s="225"/>
      <c r="V430" s="225"/>
      <c r="W430" s="225"/>
      <c r="X430" s="225"/>
    </row>
    <row r="431" spans="1:24" ht="14.25" x14ac:dyDescent="0.2">
      <c r="A431" s="225"/>
      <c r="B431" s="225"/>
      <c r="C431" s="225"/>
      <c r="D431" s="225"/>
      <c r="E431" s="225"/>
      <c r="F431" s="225"/>
      <c r="G431" s="225"/>
      <c r="H431" s="225"/>
      <c r="I431" s="225"/>
      <c r="J431" s="225"/>
      <c r="K431" s="225"/>
      <c r="L431" s="225"/>
      <c r="M431" s="225"/>
      <c r="N431" s="225"/>
      <c r="O431" s="225"/>
      <c r="P431" s="225"/>
      <c r="Q431" s="225"/>
      <c r="R431" s="225"/>
      <c r="S431" s="225"/>
      <c r="T431" s="225"/>
      <c r="U431" s="225"/>
      <c r="V431" s="225"/>
      <c r="W431" s="225"/>
      <c r="X431" s="225"/>
    </row>
    <row r="432" spans="1:24" ht="14.25" x14ac:dyDescent="0.2">
      <c r="A432" s="225"/>
      <c r="B432" s="225"/>
      <c r="C432" s="225"/>
      <c r="D432" s="225"/>
      <c r="E432" s="225"/>
      <c r="F432" s="225"/>
      <c r="G432" s="225"/>
      <c r="H432" s="225"/>
      <c r="I432" s="225"/>
      <c r="J432" s="225"/>
      <c r="K432" s="225"/>
      <c r="L432" s="225"/>
      <c r="M432" s="225"/>
      <c r="N432" s="225"/>
      <c r="O432" s="225"/>
      <c r="P432" s="225"/>
      <c r="Q432" s="225"/>
      <c r="R432" s="225"/>
      <c r="S432" s="225"/>
      <c r="T432" s="225"/>
      <c r="U432" s="225"/>
      <c r="V432" s="225"/>
      <c r="W432" s="225"/>
      <c r="X432" s="225"/>
    </row>
    <row r="433" spans="1:24" ht="14.25" x14ac:dyDescent="0.2">
      <c r="A433" s="225"/>
      <c r="B433" s="225"/>
      <c r="C433" s="225"/>
      <c r="D433" s="225"/>
      <c r="E433" s="225"/>
      <c r="F433" s="225"/>
      <c r="G433" s="225"/>
      <c r="H433" s="225"/>
      <c r="I433" s="225"/>
      <c r="J433" s="225"/>
      <c r="K433" s="225"/>
      <c r="L433" s="225"/>
      <c r="M433" s="225"/>
      <c r="N433" s="225"/>
      <c r="O433" s="225"/>
      <c r="P433" s="225"/>
      <c r="Q433" s="225"/>
      <c r="R433" s="225"/>
      <c r="S433" s="225"/>
      <c r="T433" s="225"/>
      <c r="U433" s="225"/>
      <c r="V433" s="225"/>
      <c r="W433" s="225"/>
      <c r="X433" s="225"/>
    </row>
    <row r="434" spans="1:24" ht="14.25" x14ac:dyDescent="0.2">
      <c r="A434" s="225"/>
      <c r="B434" s="225"/>
      <c r="C434" s="225"/>
      <c r="D434" s="225"/>
      <c r="E434" s="225"/>
      <c r="F434" s="225"/>
      <c r="G434" s="225"/>
      <c r="H434" s="225"/>
      <c r="I434" s="225"/>
      <c r="J434" s="225"/>
      <c r="K434" s="225"/>
      <c r="L434" s="225"/>
      <c r="M434" s="225"/>
      <c r="N434" s="225"/>
      <c r="O434" s="225"/>
      <c r="P434" s="225"/>
      <c r="Q434" s="225"/>
      <c r="R434" s="225"/>
      <c r="S434" s="225"/>
      <c r="T434" s="225"/>
      <c r="U434" s="225"/>
      <c r="V434" s="225"/>
      <c r="W434" s="225"/>
      <c r="X434" s="225"/>
    </row>
    <row r="435" spans="1:24" ht="14.25" x14ac:dyDescent="0.2">
      <c r="A435" s="225"/>
      <c r="B435" s="225"/>
      <c r="C435" s="225"/>
      <c r="D435" s="225"/>
      <c r="E435" s="225"/>
      <c r="F435" s="225"/>
      <c r="G435" s="225"/>
      <c r="H435" s="225"/>
      <c r="I435" s="225"/>
      <c r="J435" s="225"/>
      <c r="K435" s="225"/>
      <c r="L435" s="225"/>
      <c r="M435" s="225"/>
      <c r="N435" s="225"/>
      <c r="O435" s="225"/>
      <c r="P435" s="225"/>
      <c r="Q435" s="225"/>
      <c r="R435" s="225"/>
      <c r="S435" s="225"/>
      <c r="T435" s="225"/>
      <c r="U435" s="225"/>
      <c r="V435" s="225"/>
      <c r="W435" s="225"/>
      <c r="X435" s="225"/>
    </row>
    <row r="436" spans="1:24" ht="14.25" x14ac:dyDescent="0.2">
      <c r="A436" s="225"/>
      <c r="B436" s="225"/>
      <c r="C436" s="225"/>
      <c r="D436" s="225"/>
      <c r="E436" s="225"/>
      <c r="F436" s="225"/>
      <c r="G436" s="225"/>
      <c r="H436" s="225"/>
      <c r="I436" s="225"/>
      <c r="J436" s="225"/>
      <c r="K436" s="225"/>
      <c r="L436" s="225"/>
      <c r="M436" s="225"/>
      <c r="N436" s="225"/>
      <c r="O436" s="225"/>
      <c r="P436" s="225"/>
      <c r="Q436" s="225"/>
      <c r="R436" s="225"/>
      <c r="S436" s="225"/>
      <c r="T436" s="225"/>
      <c r="U436" s="225"/>
      <c r="V436" s="225"/>
      <c r="W436" s="225"/>
      <c r="X436" s="225"/>
    </row>
    <row r="437" spans="1:24" ht="14.25" x14ac:dyDescent="0.2">
      <c r="A437" s="225"/>
      <c r="B437" s="225"/>
      <c r="C437" s="225"/>
      <c r="D437" s="225"/>
      <c r="E437" s="225"/>
      <c r="F437" s="225"/>
      <c r="G437" s="225"/>
      <c r="H437" s="225"/>
      <c r="I437" s="225"/>
      <c r="J437" s="225"/>
      <c r="K437" s="225"/>
      <c r="L437" s="225"/>
      <c r="M437" s="225"/>
      <c r="N437" s="225"/>
      <c r="O437" s="225"/>
      <c r="P437" s="225"/>
      <c r="Q437" s="225"/>
      <c r="R437" s="225"/>
      <c r="S437" s="225"/>
      <c r="T437" s="225"/>
      <c r="U437" s="225"/>
      <c r="V437" s="225"/>
      <c r="W437" s="225"/>
      <c r="X437" s="225"/>
    </row>
    <row r="438" spans="1:24" ht="14.25" x14ac:dyDescent="0.2">
      <c r="A438" s="225"/>
      <c r="B438" s="225"/>
      <c r="C438" s="225"/>
      <c r="D438" s="225"/>
      <c r="E438" s="225"/>
      <c r="F438" s="225"/>
      <c r="G438" s="225"/>
      <c r="H438" s="225"/>
      <c r="I438" s="225"/>
      <c r="J438" s="225"/>
      <c r="K438" s="225"/>
      <c r="L438" s="225"/>
      <c r="M438" s="225"/>
      <c r="N438" s="225"/>
      <c r="O438" s="225"/>
      <c r="P438" s="225"/>
      <c r="Q438" s="225"/>
      <c r="R438" s="225"/>
      <c r="S438" s="225"/>
      <c r="T438" s="225"/>
      <c r="U438" s="225"/>
      <c r="V438" s="225"/>
      <c r="W438" s="225"/>
      <c r="X438" s="225"/>
    </row>
    <row r="439" spans="1:24" ht="14.25" x14ac:dyDescent="0.2">
      <c r="A439" s="225"/>
      <c r="B439" s="225"/>
      <c r="C439" s="225"/>
      <c r="D439" s="225"/>
      <c r="E439" s="225"/>
      <c r="F439" s="225"/>
      <c r="G439" s="225"/>
      <c r="H439" s="225"/>
      <c r="I439" s="225"/>
      <c r="J439" s="225"/>
      <c r="K439" s="225"/>
      <c r="L439" s="225"/>
      <c r="M439" s="225"/>
      <c r="N439" s="225"/>
      <c r="O439" s="225"/>
      <c r="P439" s="225"/>
      <c r="Q439" s="225"/>
      <c r="R439" s="225"/>
      <c r="S439" s="225"/>
      <c r="T439" s="225"/>
      <c r="U439" s="225"/>
      <c r="V439" s="225"/>
      <c r="W439" s="225"/>
      <c r="X439" s="225"/>
    </row>
    <row r="440" spans="1:24" ht="14.25" x14ac:dyDescent="0.2">
      <c r="A440" s="225"/>
      <c r="B440" s="225"/>
      <c r="C440" s="225"/>
      <c r="D440" s="225"/>
      <c r="E440" s="225"/>
      <c r="F440" s="225"/>
      <c r="G440" s="225"/>
      <c r="H440" s="225"/>
      <c r="I440" s="225"/>
      <c r="J440" s="225"/>
      <c r="K440" s="225"/>
      <c r="L440" s="225"/>
      <c r="M440" s="225"/>
      <c r="N440" s="225"/>
      <c r="O440" s="225"/>
      <c r="P440" s="225"/>
      <c r="Q440" s="225"/>
      <c r="R440" s="225"/>
      <c r="S440" s="225"/>
      <c r="T440" s="225"/>
      <c r="U440" s="225"/>
      <c r="V440" s="225"/>
      <c r="W440" s="225"/>
      <c r="X440" s="225"/>
    </row>
    <row r="441" spans="1:24" ht="14.25" x14ac:dyDescent="0.2">
      <c r="A441" s="225"/>
      <c r="B441" s="225"/>
      <c r="C441" s="225"/>
      <c r="D441" s="225"/>
      <c r="E441" s="225"/>
      <c r="F441" s="225"/>
      <c r="G441" s="225"/>
      <c r="H441" s="225"/>
      <c r="I441" s="225"/>
      <c r="J441" s="225"/>
      <c r="K441" s="225"/>
      <c r="L441" s="225"/>
      <c r="M441" s="225"/>
      <c r="N441" s="225"/>
      <c r="O441" s="225"/>
      <c r="P441" s="225"/>
      <c r="Q441" s="225"/>
      <c r="R441" s="225"/>
      <c r="S441" s="225"/>
      <c r="T441" s="225"/>
      <c r="U441" s="225"/>
      <c r="V441" s="225"/>
      <c r="W441" s="225"/>
      <c r="X441" s="225"/>
    </row>
    <row r="442" spans="1:24" ht="14.25" x14ac:dyDescent="0.2">
      <c r="A442" s="225"/>
      <c r="B442" s="225"/>
      <c r="C442" s="225"/>
      <c r="D442" s="225"/>
      <c r="E442" s="225"/>
      <c r="F442" s="225"/>
      <c r="G442" s="225"/>
      <c r="H442" s="225"/>
      <c r="I442" s="225"/>
      <c r="J442" s="225"/>
      <c r="K442" s="225"/>
      <c r="L442" s="225"/>
      <c r="M442" s="225"/>
      <c r="N442" s="225"/>
      <c r="O442" s="225"/>
      <c r="P442" s="225"/>
      <c r="Q442" s="225"/>
      <c r="R442" s="225"/>
      <c r="S442" s="225"/>
      <c r="T442" s="225"/>
      <c r="U442" s="225"/>
      <c r="V442" s="225"/>
      <c r="W442" s="225"/>
      <c r="X442" s="225"/>
    </row>
    <row r="443" spans="1:24" ht="14.25" x14ac:dyDescent="0.2">
      <c r="A443" s="225"/>
      <c r="B443" s="225"/>
      <c r="C443" s="225"/>
      <c r="D443" s="225"/>
      <c r="E443" s="225"/>
      <c r="F443" s="225"/>
      <c r="G443" s="225"/>
      <c r="H443" s="225"/>
      <c r="I443" s="225"/>
      <c r="J443" s="225"/>
      <c r="K443" s="225"/>
      <c r="L443" s="225"/>
      <c r="M443" s="225"/>
      <c r="N443" s="225"/>
      <c r="O443" s="225"/>
      <c r="P443" s="225"/>
      <c r="Q443" s="225"/>
      <c r="R443" s="225"/>
      <c r="S443" s="225"/>
      <c r="T443" s="225"/>
      <c r="U443" s="225"/>
      <c r="V443" s="225"/>
      <c r="W443" s="225"/>
      <c r="X443" s="225"/>
    </row>
    <row r="444" spans="1:24" ht="14.25" x14ac:dyDescent="0.2">
      <c r="A444" s="225"/>
      <c r="B444" s="225"/>
      <c r="C444" s="225"/>
      <c r="D444" s="225"/>
      <c r="E444" s="225"/>
      <c r="F444" s="225"/>
      <c r="G444" s="225"/>
      <c r="H444" s="225"/>
      <c r="I444" s="225"/>
      <c r="J444" s="225"/>
      <c r="K444" s="225"/>
      <c r="L444" s="225"/>
      <c r="M444" s="225"/>
      <c r="N444" s="225"/>
      <c r="O444" s="225"/>
      <c r="P444" s="225"/>
      <c r="Q444" s="225"/>
      <c r="R444" s="225"/>
      <c r="S444" s="225"/>
      <c r="T444" s="225"/>
      <c r="U444" s="225"/>
      <c r="V444" s="225"/>
      <c r="W444" s="225"/>
      <c r="X444" s="225"/>
    </row>
    <row r="445" spans="1:24" ht="14.25" x14ac:dyDescent="0.2">
      <c r="A445" s="225"/>
      <c r="B445" s="225"/>
      <c r="C445" s="225"/>
      <c r="D445" s="225"/>
      <c r="E445" s="225"/>
      <c r="F445" s="225"/>
      <c r="G445" s="225"/>
      <c r="H445" s="225"/>
      <c r="I445" s="225"/>
      <c r="J445" s="225"/>
      <c r="K445" s="225"/>
      <c r="L445" s="225"/>
      <c r="M445" s="225"/>
      <c r="N445" s="225"/>
      <c r="O445" s="225"/>
      <c r="P445" s="225"/>
      <c r="Q445" s="225"/>
      <c r="R445" s="225"/>
      <c r="S445" s="225"/>
      <c r="T445" s="225"/>
      <c r="U445" s="225"/>
      <c r="V445" s="225"/>
      <c r="W445" s="225"/>
      <c r="X445" s="225"/>
    </row>
    <row r="446" spans="1:24" ht="14.25" x14ac:dyDescent="0.2">
      <c r="A446" s="225"/>
      <c r="B446" s="225"/>
      <c r="C446" s="225"/>
      <c r="D446" s="225"/>
      <c r="E446" s="225"/>
      <c r="F446" s="225"/>
      <c r="G446" s="225"/>
      <c r="H446" s="225"/>
      <c r="I446" s="225"/>
      <c r="J446" s="225"/>
      <c r="K446" s="225"/>
      <c r="L446" s="225"/>
      <c r="M446" s="225"/>
      <c r="N446" s="225"/>
      <c r="O446" s="225"/>
      <c r="P446" s="225"/>
      <c r="Q446" s="225"/>
      <c r="R446" s="225"/>
      <c r="S446" s="225"/>
      <c r="T446" s="225"/>
      <c r="U446" s="225"/>
      <c r="V446" s="225"/>
      <c r="W446" s="225"/>
      <c r="X446" s="225"/>
    </row>
    <row r="447" spans="1:24" ht="14.25" x14ac:dyDescent="0.2">
      <c r="A447" s="225"/>
      <c r="B447" s="225"/>
      <c r="C447" s="225"/>
      <c r="D447" s="225"/>
      <c r="E447" s="225"/>
      <c r="F447" s="225"/>
      <c r="G447" s="225"/>
      <c r="H447" s="225"/>
      <c r="I447" s="225"/>
      <c r="J447" s="225"/>
      <c r="K447" s="225"/>
      <c r="L447" s="225"/>
      <c r="M447" s="225"/>
      <c r="N447" s="225"/>
      <c r="O447" s="225"/>
      <c r="P447" s="225"/>
      <c r="Q447" s="225"/>
      <c r="R447" s="225"/>
      <c r="S447" s="225"/>
      <c r="T447" s="225"/>
      <c r="U447" s="225"/>
      <c r="V447" s="225"/>
      <c r="W447" s="225"/>
      <c r="X447" s="225"/>
    </row>
    <row r="448" spans="1:24" ht="14.25" x14ac:dyDescent="0.2">
      <c r="A448" s="225"/>
      <c r="B448" s="225"/>
      <c r="C448" s="225"/>
      <c r="D448" s="225"/>
      <c r="E448" s="225"/>
      <c r="F448" s="225"/>
      <c r="G448" s="225"/>
      <c r="H448" s="225"/>
      <c r="I448" s="225"/>
      <c r="J448" s="225"/>
      <c r="K448" s="225"/>
      <c r="L448" s="225"/>
      <c r="M448" s="225"/>
      <c r="N448" s="225"/>
      <c r="O448" s="225"/>
      <c r="P448" s="225"/>
      <c r="Q448" s="225"/>
      <c r="R448" s="225"/>
      <c r="S448" s="225"/>
      <c r="T448" s="225"/>
      <c r="U448" s="225"/>
      <c r="V448" s="225"/>
      <c r="W448" s="225"/>
      <c r="X448" s="225"/>
    </row>
    <row r="449" spans="1:24" ht="14.25" x14ac:dyDescent="0.2">
      <c r="A449" s="225"/>
      <c r="B449" s="225"/>
      <c r="C449" s="225"/>
      <c r="D449" s="225"/>
      <c r="E449" s="225"/>
      <c r="F449" s="225"/>
      <c r="G449" s="225"/>
      <c r="H449" s="225"/>
      <c r="I449" s="225"/>
      <c r="J449" s="225"/>
      <c r="K449" s="225"/>
      <c r="L449" s="225"/>
      <c r="M449" s="225"/>
      <c r="N449" s="225"/>
      <c r="O449" s="225"/>
      <c r="P449" s="225"/>
      <c r="Q449" s="225"/>
      <c r="R449" s="225"/>
      <c r="S449" s="225"/>
      <c r="T449" s="225"/>
      <c r="U449" s="225"/>
      <c r="V449" s="225"/>
      <c r="W449" s="225"/>
      <c r="X449" s="225"/>
    </row>
    <row r="450" spans="1:24" ht="14.25" x14ac:dyDescent="0.2">
      <c r="A450" s="225"/>
      <c r="B450" s="225"/>
      <c r="C450" s="225"/>
      <c r="D450" s="225"/>
      <c r="E450" s="225"/>
      <c r="F450" s="225"/>
      <c r="G450" s="225"/>
      <c r="H450" s="225"/>
      <c r="I450" s="225"/>
      <c r="J450" s="225"/>
      <c r="K450" s="225"/>
      <c r="L450" s="225"/>
      <c r="M450" s="225"/>
      <c r="N450" s="225"/>
      <c r="O450" s="225"/>
      <c r="P450" s="225"/>
      <c r="Q450" s="225"/>
      <c r="R450" s="225"/>
      <c r="S450" s="225"/>
      <c r="T450" s="225"/>
      <c r="U450" s="225"/>
      <c r="V450" s="225"/>
      <c r="W450" s="225"/>
      <c r="X450" s="225"/>
    </row>
    <row r="451" spans="1:24" ht="14.25" x14ac:dyDescent="0.2">
      <c r="A451" s="225"/>
      <c r="B451" s="225"/>
      <c r="C451" s="225"/>
      <c r="D451" s="225"/>
      <c r="E451" s="225"/>
      <c r="F451" s="225"/>
      <c r="G451" s="225"/>
      <c r="H451" s="225"/>
      <c r="I451" s="225"/>
      <c r="J451" s="225"/>
      <c r="K451" s="225"/>
      <c r="L451" s="225"/>
      <c r="M451" s="225"/>
      <c r="N451" s="225"/>
      <c r="O451" s="225"/>
      <c r="P451" s="225"/>
      <c r="Q451" s="225"/>
      <c r="R451" s="225"/>
      <c r="S451" s="225"/>
      <c r="T451" s="225"/>
      <c r="U451" s="225"/>
      <c r="V451" s="225"/>
      <c r="W451" s="225"/>
      <c r="X451" s="225"/>
    </row>
    <row r="452" spans="1:24" ht="14.25" x14ac:dyDescent="0.2">
      <c r="A452" s="225"/>
      <c r="B452" s="225"/>
      <c r="C452" s="225"/>
      <c r="D452" s="225"/>
      <c r="E452" s="225"/>
      <c r="F452" s="225"/>
      <c r="G452" s="225"/>
      <c r="H452" s="225"/>
      <c r="I452" s="225"/>
      <c r="J452" s="225"/>
      <c r="K452" s="225"/>
      <c r="L452" s="225"/>
      <c r="M452" s="225"/>
      <c r="N452" s="225"/>
      <c r="O452" s="225"/>
      <c r="P452" s="225"/>
      <c r="Q452" s="225"/>
      <c r="R452" s="225"/>
      <c r="S452" s="225"/>
      <c r="T452" s="225"/>
      <c r="U452" s="225"/>
      <c r="V452" s="225"/>
      <c r="W452" s="225"/>
      <c r="X452" s="225"/>
    </row>
    <row r="453" spans="1:24" ht="14.25" x14ac:dyDescent="0.2">
      <c r="A453" s="225"/>
      <c r="B453" s="225"/>
      <c r="C453" s="225"/>
      <c r="D453" s="225"/>
      <c r="E453" s="225"/>
      <c r="F453" s="225"/>
      <c r="G453" s="225"/>
      <c r="H453" s="225"/>
      <c r="I453" s="225"/>
      <c r="J453" s="225"/>
      <c r="K453" s="225"/>
      <c r="L453" s="225"/>
      <c r="M453" s="225"/>
      <c r="N453" s="225"/>
      <c r="O453" s="225"/>
      <c r="P453" s="225"/>
      <c r="Q453" s="225"/>
      <c r="R453" s="225"/>
      <c r="S453" s="225"/>
      <c r="T453" s="225"/>
      <c r="U453" s="225"/>
      <c r="V453" s="225"/>
      <c r="W453" s="225"/>
      <c r="X453" s="225"/>
    </row>
    <row r="454" spans="1:24" ht="14.25" x14ac:dyDescent="0.2">
      <c r="A454" s="225"/>
      <c r="B454" s="225"/>
      <c r="C454" s="225"/>
      <c r="D454" s="225"/>
      <c r="E454" s="225"/>
      <c r="F454" s="225"/>
      <c r="G454" s="225"/>
      <c r="H454" s="225"/>
      <c r="I454" s="225"/>
      <c r="J454" s="225"/>
      <c r="K454" s="225"/>
      <c r="L454" s="225"/>
      <c r="M454" s="225"/>
      <c r="N454" s="225"/>
      <c r="O454" s="225"/>
      <c r="P454" s="225"/>
      <c r="Q454" s="225"/>
      <c r="R454" s="225"/>
      <c r="S454" s="225"/>
      <c r="T454" s="225"/>
      <c r="U454" s="225"/>
      <c r="V454" s="225"/>
      <c r="W454" s="225"/>
      <c r="X454" s="225"/>
    </row>
    <row r="455" spans="1:24" ht="14.25" x14ac:dyDescent="0.2">
      <c r="A455" s="225"/>
      <c r="B455" s="225"/>
      <c r="C455" s="225"/>
      <c r="D455" s="225"/>
      <c r="E455" s="225"/>
      <c r="F455" s="225"/>
      <c r="G455" s="225"/>
      <c r="H455" s="225"/>
      <c r="I455" s="225"/>
      <c r="J455" s="225"/>
      <c r="K455" s="225"/>
      <c r="L455" s="225"/>
      <c r="M455" s="225"/>
      <c r="N455" s="225"/>
      <c r="O455" s="225"/>
      <c r="P455" s="225"/>
      <c r="Q455" s="225"/>
      <c r="R455" s="225"/>
      <c r="S455" s="225"/>
      <c r="T455" s="225"/>
      <c r="U455" s="225"/>
      <c r="V455" s="225"/>
      <c r="W455" s="225"/>
      <c r="X455" s="225"/>
    </row>
    <row r="456" spans="1:24" ht="14.25" x14ac:dyDescent="0.2">
      <c r="A456" s="225"/>
      <c r="B456" s="225"/>
      <c r="C456" s="225"/>
      <c r="D456" s="225"/>
      <c r="E456" s="225"/>
      <c r="F456" s="225"/>
      <c r="G456" s="225"/>
      <c r="H456" s="225"/>
      <c r="I456" s="225"/>
      <c r="J456" s="225"/>
      <c r="K456" s="225"/>
      <c r="L456" s="225"/>
      <c r="M456" s="225"/>
      <c r="N456" s="225"/>
      <c r="O456" s="225"/>
      <c r="P456" s="225"/>
      <c r="Q456" s="225"/>
      <c r="R456" s="225"/>
      <c r="S456" s="225"/>
      <c r="T456" s="225"/>
      <c r="U456" s="225"/>
      <c r="V456" s="225"/>
      <c r="W456" s="225"/>
      <c r="X456" s="225"/>
    </row>
    <row r="457" spans="1:24" ht="14.25" x14ac:dyDescent="0.2">
      <c r="A457" s="225"/>
      <c r="B457" s="225"/>
      <c r="C457" s="225"/>
      <c r="D457" s="225"/>
      <c r="E457" s="225"/>
      <c r="F457" s="225"/>
      <c r="G457" s="225"/>
      <c r="H457" s="225"/>
      <c r="I457" s="225"/>
      <c r="J457" s="225"/>
      <c r="K457" s="225"/>
      <c r="L457" s="225"/>
      <c r="M457" s="225"/>
      <c r="N457" s="225"/>
      <c r="O457" s="225"/>
      <c r="P457" s="225"/>
      <c r="Q457" s="225"/>
      <c r="R457" s="225"/>
      <c r="S457" s="225"/>
      <c r="T457" s="225"/>
      <c r="U457" s="225"/>
      <c r="V457" s="225"/>
      <c r="W457" s="225"/>
      <c r="X457" s="225"/>
    </row>
    <row r="458" spans="1:24" ht="14.25" x14ac:dyDescent="0.2">
      <c r="A458" s="225"/>
      <c r="B458" s="225"/>
      <c r="C458" s="225"/>
      <c r="D458" s="225"/>
      <c r="E458" s="225"/>
      <c r="F458" s="225"/>
      <c r="G458" s="225"/>
      <c r="H458" s="225"/>
      <c r="I458" s="225"/>
      <c r="J458" s="225"/>
      <c r="K458" s="225"/>
      <c r="L458" s="225"/>
      <c r="M458" s="225"/>
      <c r="N458" s="225"/>
      <c r="O458" s="225"/>
      <c r="P458" s="225"/>
      <c r="Q458" s="225"/>
      <c r="R458" s="225"/>
      <c r="S458" s="225"/>
      <c r="T458" s="225"/>
      <c r="U458" s="225"/>
      <c r="V458" s="225"/>
      <c r="W458" s="225"/>
      <c r="X458" s="225"/>
    </row>
    <row r="459" spans="1:24" ht="14.25" x14ac:dyDescent="0.2">
      <c r="A459" s="225"/>
      <c r="B459" s="225"/>
      <c r="C459" s="225"/>
      <c r="D459" s="225"/>
      <c r="E459" s="225"/>
      <c r="F459" s="225"/>
      <c r="G459" s="225"/>
      <c r="H459" s="225"/>
      <c r="I459" s="225"/>
      <c r="J459" s="225"/>
      <c r="K459" s="225"/>
      <c r="L459" s="225"/>
      <c r="M459" s="225"/>
      <c r="N459" s="225"/>
      <c r="O459" s="225"/>
      <c r="P459" s="225"/>
      <c r="Q459" s="225"/>
      <c r="R459" s="225"/>
      <c r="S459" s="225"/>
      <c r="T459" s="225"/>
      <c r="U459" s="225"/>
      <c r="V459" s="225"/>
      <c r="W459" s="225"/>
      <c r="X459" s="225"/>
    </row>
    <row r="460" spans="1:24" ht="14.25" x14ac:dyDescent="0.2">
      <c r="A460" s="225"/>
      <c r="B460" s="225"/>
      <c r="C460" s="225"/>
      <c r="D460" s="225"/>
      <c r="E460" s="225"/>
      <c r="F460" s="225"/>
      <c r="G460" s="225"/>
      <c r="H460" s="225"/>
      <c r="I460" s="225"/>
      <c r="J460" s="225"/>
      <c r="K460" s="225"/>
      <c r="L460" s="225"/>
      <c r="M460" s="225"/>
      <c r="N460" s="225"/>
      <c r="O460" s="225"/>
      <c r="P460" s="225"/>
      <c r="Q460" s="225"/>
      <c r="R460" s="225"/>
      <c r="S460" s="225"/>
      <c r="T460" s="225"/>
      <c r="U460" s="225"/>
      <c r="V460" s="225"/>
      <c r="W460" s="225"/>
      <c r="X460" s="225"/>
    </row>
    <row r="461" spans="1:24" ht="14.25" x14ac:dyDescent="0.2">
      <c r="A461" s="225"/>
      <c r="B461" s="225"/>
      <c r="C461" s="225"/>
      <c r="D461" s="225"/>
      <c r="E461" s="225"/>
      <c r="F461" s="225"/>
      <c r="G461" s="225"/>
      <c r="H461" s="225"/>
      <c r="I461" s="225"/>
      <c r="J461" s="225"/>
      <c r="K461" s="225"/>
      <c r="L461" s="225"/>
      <c r="M461" s="225"/>
      <c r="N461" s="225"/>
      <c r="O461" s="225"/>
      <c r="P461" s="225"/>
      <c r="Q461" s="225"/>
      <c r="R461" s="225"/>
      <c r="S461" s="225"/>
      <c r="T461" s="225"/>
      <c r="U461" s="225"/>
      <c r="V461" s="225"/>
      <c r="W461" s="225"/>
      <c r="X461" s="225"/>
    </row>
    <row r="462" spans="1:24" ht="14.25" x14ac:dyDescent="0.2">
      <c r="A462" s="225"/>
      <c r="B462" s="225"/>
      <c r="C462" s="225"/>
      <c r="D462" s="225"/>
      <c r="E462" s="225"/>
      <c r="F462" s="225"/>
      <c r="G462" s="225"/>
      <c r="H462" s="225"/>
      <c r="I462" s="225"/>
      <c r="J462" s="225"/>
      <c r="K462" s="225"/>
      <c r="L462" s="225"/>
      <c r="M462" s="225"/>
      <c r="N462" s="225"/>
      <c r="O462" s="225"/>
      <c r="P462" s="225"/>
      <c r="Q462" s="225"/>
      <c r="R462" s="225"/>
      <c r="S462" s="225"/>
      <c r="T462" s="225"/>
      <c r="U462" s="225"/>
      <c r="V462" s="225"/>
      <c r="W462" s="225"/>
      <c r="X462" s="225"/>
    </row>
    <row r="463" spans="1:24" ht="14.25" x14ac:dyDescent="0.2">
      <c r="A463" s="225"/>
      <c r="B463" s="225"/>
      <c r="C463" s="225"/>
      <c r="D463" s="225"/>
      <c r="E463" s="225"/>
      <c r="F463" s="225"/>
      <c r="G463" s="225"/>
      <c r="H463" s="225"/>
      <c r="I463" s="225"/>
      <c r="J463" s="225"/>
      <c r="K463" s="225"/>
      <c r="L463" s="225"/>
      <c r="M463" s="225"/>
      <c r="N463" s="225"/>
      <c r="O463" s="225"/>
      <c r="P463" s="225"/>
      <c r="Q463" s="225"/>
      <c r="R463" s="225"/>
      <c r="S463" s="225"/>
      <c r="T463" s="225"/>
      <c r="U463" s="225"/>
      <c r="V463" s="225"/>
      <c r="W463" s="225"/>
      <c r="X463" s="225"/>
    </row>
    <row r="464" spans="1:24" ht="14.25" x14ac:dyDescent="0.2">
      <c r="A464" s="225"/>
      <c r="B464" s="225"/>
      <c r="C464" s="225"/>
      <c r="D464" s="225"/>
      <c r="E464" s="225"/>
      <c r="F464" s="225"/>
      <c r="G464" s="225"/>
      <c r="H464" s="225"/>
      <c r="I464" s="225"/>
      <c r="J464" s="225"/>
      <c r="K464" s="225"/>
      <c r="L464" s="225"/>
      <c r="M464" s="225"/>
      <c r="N464" s="225"/>
      <c r="O464" s="225"/>
      <c r="P464" s="225"/>
      <c r="Q464" s="225"/>
      <c r="R464" s="225"/>
      <c r="S464" s="225"/>
      <c r="T464" s="225"/>
      <c r="U464" s="225"/>
      <c r="V464" s="225"/>
      <c r="W464" s="225"/>
      <c r="X464" s="225"/>
    </row>
    <row r="465" spans="1:24" ht="14.25" x14ac:dyDescent="0.2">
      <c r="A465" s="225"/>
      <c r="B465" s="225"/>
      <c r="C465" s="225"/>
      <c r="D465" s="225"/>
      <c r="E465" s="225"/>
      <c r="F465" s="225"/>
      <c r="G465" s="225"/>
      <c r="H465" s="225"/>
      <c r="I465" s="225"/>
      <c r="J465" s="225"/>
      <c r="K465" s="225"/>
      <c r="L465" s="225"/>
      <c r="M465" s="225"/>
      <c r="N465" s="225"/>
      <c r="O465" s="225"/>
      <c r="P465" s="225"/>
      <c r="Q465" s="225"/>
      <c r="R465" s="225"/>
      <c r="S465" s="225"/>
      <c r="T465" s="225"/>
      <c r="U465" s="225"/>
      <c r="V465" s="225"/>
      <c r="W465" s="225"/>
      <c r="X465" s="225"/>
    </row>
    <row r="466" spans="1:24" ht="14.25" x14ac:dyDescent="0.2">
      <c r="A466" s="225"/>
      <c r="B466" s="225"/>
      <c r="C466" s="225"/>
      <c r="D466" s="225"/>
      <c r="E466" s="225"/>
      <c r="F466" s="225"/>
      <c r="G466" s="225"/>
      <c r="H466" s="225"/>
      <c r="I466" s="225"/>
      <c r="J466" s="225"/>
      <c r="K466" s="225"/>
      <c r="L466" s="225"/>
      <c r="M466" s="225"/>
      <c r="N466" s="225"/>
      <c r="O466" s="225"/>
      <c r="P466" s="225"/>
      <c r="Q466" s="225"/>
      <c r="R466" s="225"/>
      <c r="S466" s="225"/>
      <c r="T466" s="225"/>
      <c r="U466" s="225"/>
      <c r="V466" s="225"/>
      <c r="W466" s="225"/>
      <c r="X466" s="225"/>
    </row>
    <row r="467" spans="1:24" ht="14.25" x14ac:dyDescent="0.2">
      <c r="A467" s="225"/>
      <c r="B467" s="225"/>
      <c r="C467" s="225"/>
      <c r="D467" s="225"/>
      <c r="E467" s="225"/>
      <c r="F467" s="225"/>
      <c r="G467" s="225"/>
      <c r="H467" s="225"/>
      <c r="I467" s="225"/>
      <c r="J467" s="225"/>
      <c r="K467" s="225"/>
      <c r="L467" s="225"/>
      <c r="M467" s="225"/>
      <c r="N467" s="225"/>
      <c r="O467" s="225"/>
      <c r="P467" s="225"/>
      <c r="Q467" s="225"/>
      <c r="R467" s="225"/>
      <c r="S467" s="225"/>
      <c r="T467" s="225"/>
      <c r="U467" s="225"/>
      <c r="V467" s="225"/>
      <c r="W467" s="225"/>
      <c r="X467" s="225"/>
    </row>
    <row r="468" spans="1:24" ht="14.25" x14ac:dyDescent="0.2">
      <c r="A468" s="225"/>
      <c r="B468" s="225"/>
      <c r="C468" s="225"/>
      <c r="D468" s="225"/>
      <c r="E468" s="225"/>
      <c r="F468" s="225"/>
      <c r="G468" s="225"/>
      <c r="H468" s="225"/>
      <c r="I468" s="225"/>
      <c r="J468" s="225"/>
      <c r="K468" s="225"/>
      <c r="L468" s="225"/>
      <c r="M468" s="225"/>
      <c r="N468" s="225"/>
      <c r="O468" s="225"/>
      <c r="P468" s="225"/>
      <c r="Q468" s="225"/>
      <c r="R468" s="225"/>
      <c r="S468" s="225"/>
      <c r="T468" s="225"/>
      <c r="U468" s="225"/>
      <c r="V468" s="225"/>
      <c r="W468" s="225"/>
      <c r="X468" s="225"/>
    </row>
    <row r="469" spans="1:24" ht="14.25" x14ac:dyDescent="0.2">
      <c r="A469" s="225"/>
      <c r="B469" s="225"/>
      <c r="C469" s="225"/>
      <c r="D469" s="225"/>
      <c r="E469" s="225"/>
      <c r="F469" s="225"/>
      <c r="G469" s="225"/>
      <c r="H469" s="225"/>
      <c r="I469" s="225"/>
      <c r="J469" s="225"/>
      <c r="K469" s="225"/>
      <c r="L469" s="225"/>
      <c r="M469" s="225"/>
      <c r="N469" s="225"/>
      <c r="O469" s="225"/>
      <c r="P469" s="225"/>
      <c r="Q469" s="225"/>
      <c r="R469" s="225"/>
      <c r="S469" s="225"/>
      <c r="T469" s="225"/>
      <c r="U469" s="225"/>
      <c r="V469" s="225"/>
      <c r="W469" s="225"/>
      <c r="X469" s="225"/>
    </row>
    <row r="470" spans="1:24" ht="14.25" x14ac:dyDescent="0.2">
      <c r="A470" s="225"/>
      <c r="B470" s="225"/>
      <c r="C470" s="225"/>
      <c r="D470" s="225"/>
      <c r="E470" s="225"/>
      <c r="F470" s="225"/>
      <c r="G470" s="225"/>
      <c r="H470" s="225"/>
      <c r="I470" s="225"/>
      <c r="J470" s="225"/>
      <c r="K470" s="225"/>
      <c r="L470" s="225"/>
      <c r="M470" s="225"/>
      <c r="N470" s="225"/>
      <c r="O470" s="225"/>
      <c r="P470" s="225"/>
      <c r="Q470" s="225"/>
      <c r="R470" s="225"/>
      <c r="S470" s="225"/>
      <c r="T470" s="225"/>
      <c r="U470" s="225"/>
      <c r="V470" s="225"/>
      <c r="W470" s="225"/>
      <c r="X470" s="225"/>
    </row>
    <row r="471" spans="1:24" ht="14.25" x14ac:dyDescent="0.2">
      <c r="A471" s="225"/>
      <c r="B471" s="225"/>
      <c r="C471" s="225"/>
      <c r="D471" s="225"/>
      <c r="E471" s="225"/>
      <c r="F471" s="225"/>
      <c r="G471" s="225"/>
      <c r="H471" s="225"/>
      <c r="I471" s="225"/>
      <c r="J471" s="225"/>
      <c r="K471" s="225"/>
      <c r="L471" s="225"/>
      <c r="M471" s="225"/>
      <c r="N471" s="225"/>
      <c r="O471" s="225"/>
      <c r="P471" s="225"/>
      <c r="Q471" s="225"/>
      <c r="R471" s="225"/>
      <c r="S471" s="225"/>
      <c r="T471" s="225"/>
      <c r="U471" s="225"/>
      <c r="V471" s="225"/>
      <c r="W471" s="225"/>
      <c r="X471" s="225"/>
    </row>
    <row r="472" spans="1:24" ht="14.25" x14ac:dyDescent="0.2">
      <c r="A472" s="225"/>
      <c r="B472" s="225"/>
      <c r="C472" s="225"/>
      <c r="D472" s="225"/>
      <c r="E472" s="225"/>
      <c r="F472" s="225"/>
      <c r="G472" s="225"/>
      <c r="H472" s="225"/>
      <c r="I472" s="225"/>
      <c r="J472" s="225"/>
      <c r="K472" s="225"/>
      <c r="L472" s="225"/>
      <c r="M472" s="225"/>
      <c r="N472" s="225"/>
      <c r="O472" s="225"/>
      <c r="P472" s="225"/>
      <c r="Q472" s="225"/>
      <c r="R472" s="225"/>
      <c r="S472" s="225"/>
      <c r="T472" s="225"/>
      <c r="U472" s="225"/>
      <c r="V472" s="225"/>
      <c r="W472" s="225"/>
      <c r="X472" s="225"/>
    </row>
    <row r="473" spans="1:24" ht="14.25" x14ac:dyDescent="0.2">
      <c r="A473" s="225"/>
      <c r="B473" s="225"/>
      <c r="C473" s="225"/>
      <c r="D473" s="225"/>
      <c r="E473" s="225"/>
      <c r="F473" s="225"/>
      <c r="G473" s="225"/>
      <c r="H473" s="225"/>
      <c r="I473" s="225"/>
      <c r="J473" s="225"/>
      <c r="K473" s="225"/>
      <c r="L473" s="225"/>
      <c r="M473" s="225"/>
      <c r="N473" s="225"/>
      <c r="O473" s="225"/>
      <c r="P473" s="225"/>
      <c r="Q473" s="225"/>
      <c r="R473" s="225"/>
      <c r="S473" s="225"/>
      <c r="T473" s="225"/>
      <c r="U473" s="225"/>
      <c r="V473" s="225"/>
      <c r="W473" s="225"/>
      <c r="X473" s="225"/>
    </row>
    <row r="474" spans="1:24" ht="14.25" x14ac:dyDescent="0.2">
      <c r="A474" s="225"/>
      <c r="B474" s="225"/>
      <c r="C474" s="225"/>
      <c r="D474" s="225"/>
      <c r="E474" s="225"/>
      <c r="F474" s="225"/>
      <c r="G474" s="225"/>
      <c r="H474" s="225"/>
      <c r="I474" s="225"/>
      <c r="J474" s="225"/>
      <c r="K474" s="225"/>
      <c r="L474" s="225"/>
      <c r="M474" s="225"/>
      <c r="N474" s="225"/>
      <c r="O474" s="225"/>
      <c r="P474" s="225"/>
      <c r="Q474" s="225"/>
      <c r="R474" s="225"/>
      <c r="S474" s="225"/>
      <c r="T474" s="225"/>
      <c r="U474" s="225"/>
      <c r="V474" s="225"/>
      <c r="W474" s="225"/>
      <c r="X474" s="225"/>
    </row>
    <row r="475" spans="1:24" ht="14.25" x14ac:dyDescent="0.2">
      <c r="A475" s="225"/>
      <c r="B475" s="225"/>
      <c r="C475" s="225"/>
      <c r="D475" s="225"/>
      <c r="E475" s="225"/>
      <c r="F475" s="225"/>
      <c r="G475" s="225"/>
      <c r="H475" s="225"/>
      <c r="I475" s="225"/>
      <c r="J475" s="225"/>
      <c r="K475" s="225"/>
      <c r="L475" s="225"/>
      <c r="M475" s="225"/>
      <c r="N475" s="225"/>
      <c r="O475" s="225"/>
      <c r="P475" s="225"/>
      <c r="Q475" s="225"/>
      <c r="R475" s="225"/>
      <c r="S475" s="225"/>
      <c r="T475" s="225"/>
      <c r="U475" s="225"/>
      <c r="V475" s="225"/>
      <c r="W475" s="225"/>
      <c r="X475" s="225"/>
    </row>
    <row r="476" spans="1:24" ht="14.25" x14ac:dyDescent="0.2">
      <c r="A476" s="225"/>
      <c r="B476" s="225"/>
      <c r="C476" s="225"/>
      <c r="D476" s="225"/>
      <c r="E476" s="225"/>
      <c r="F476" s="225"/>
      <c r="G476" s="225"/>
      <c r="H476" s="225"/>
      <c r="I476" s="225"/>
      <c r="J476" s="225"/>
      <c r="K476" s="225"/>
      <c r="L476" s="225"/>
      <c r="M476" s="225"/>
      <c r="N476" s="225"/>
      <c r="O476" s="225"/>
      <c r="P476" s="225"/>
      <c r="Q476" s="225"/>
      <c r="R476" s="225"/>
      <c r="S476" s="225"/>
      <c r="T476" s="225"/>
      <c r="U476" s="225"/>
      <c r="V476" s="225"/>
      <c r="W476" s="225"/>
      <c r="X476" s="225"/>
    </row>
    <row r="477" spans="1:24" ht="14.25" x14ac:dyDescent="0.2">
      <c r="A477" s="225"/>
      <c r="B477" s="225"/>
      <c r="C477" s="225"/>
      <c r="D477" s="225"/>
      <c r="E477" s="225"/>
      <c r="F477" s="225"/>
      <c r="G477" s="225"/>
      <c r="H477" s="225"/>
      <c r="I477" s="225"/>
      <c r="J477" s="225"/>
      <c r="K477" s="225"/>
      <c r="L477" s="225"/>
      <c r="M477" s="225"/>
      <c r="N477" s="225"/>
      <c r="O477" s="225"/>
      <c r="P477" s="225"/>
      <c r="Q477" s="225"/>
      <c r="R477" s="225"/>
      <c r="S477" s="225"/>
      <c r="T477" s="225"/>
      <c r="U477" s="225"/>
      <c r="V477" s="225"/>
      <c r="W477" s="225"/>
      <c r="X477" s="225"/>
    </row>
    <row r="478" spans="1:24" ht="14.25" x14ac:dyDescent="0.2">
      <c r="A478" s="225"/>
      <c r="B478" s="225"/>
      <c r="C478" s="225"/>
      <c r="D478" s="225"/>
      <c r="E478" s="225"/>
      <c r="F478" s="225"/>
      <c r="G478" s="225"/>
      <c r="H478" s="225"/>
      <c r="I478" s="225"/>
      <c r="J478" s="225"/>
      <c r="K478" s="225"/>
      <c r="L478" s="225"/>
      <c r="M478" s="225"/>
      <c r="N478" s="225"/>
      <c r="O478" s="225"/>
      <c r="P478" s="225"/>
      <c r="Q478" s="225"/>
      <c r="R478" s="225"/>
      <c r="S478" s="225"/>
      <c r="T478" s="225"/>
      <c r="U478" s="225"/>
      <c r="V478" s="225"/>
      <c r="W478" s="225"/>
      <c r="X478" s="225"/>
    </row>
    <row r="479" spans="1:24" ht="14.25" x14ac:dyDescent="0.2">
      <c r="A479" s="225"/>
      <c r="B479" s="225"/>
      <c r="C479" s="225"/>
      <c r="D479" s="225"/>
      <c r="E479" s="225"/>
      <c r="F479" s="225"/>
      <c r="G479" s="225"/>
      <c r="H479" s="225"/>
      <c r="I479" s="225"/>
      <c r="J479" s="225"/>
      <c r="K479" s="225"/>
      <c r="L479" s="225"/>
      <c r="M479" s="225"/>
      <c r="N479" s="225"/>
      <c r="O479" s="225"/>
      <c r="P479" s="225"/>
      <c r="Q479" s="225"/>
      <c r="R479" s="225"/>
      <c r="S479" s="225"/>
      <c r="T479" s="225"/>
      <c r="U479" s="225"/>
      <c r="V479" s="225"/>
      <c r="W479" s="225"/>
      <c r="X479" s="225"/>
    </row>
    <row r="480" spans="1:24" ht="14.25" x14ac:dyDescent="0.2">
      <c r="A480" s="225"/>
      <c r="B480" s="225"/>
      <c r="C480" s="225"/>
      <c r="D480" s="225"/>
      <c r="E480" s="225"/>
      <c r="F480" s="225"/>
      <c r="G480" s="225"/>
      <c r="H480" s="225"/>
      <c r="I480" s="225"/>
      <c r="J480" s="225"/>
      <c r="K480" s="225"/>
      <c r="L480" s="225"/>
      <c r="M480" s="225"/>
      <c r="N480" s="225"/>
      <c r="O480" s="225"/>
      <c r="P480" s="225"/>
      <c r="Q480" s="225"/>
      <c r="R480" s="225"/>
      <c r="S480" s="225"/>
      <c r="T480" s="225"/>
      <c r="U480" s="225"/>
      <c r="V480" s="225"/>
      <c r="W480" s="225"/>
      <c r="X480" s="225"/>
    </row>
    <row r="481" spans="1:24" ht="14.25" x14ac:dyDescent="0.2">
      <c r="A481" s="225"/>
      <c r="B481" s="225"/>
      <c r="C481" s="225"/>
      <c r="D481" s="225"/>
      <c r="E481" s="225"/>
      <c r="F481" s="225"/>
      <c r="G481" s="225"/>
      <c r="H481" s="225"/>
      <c r="I481" s="225"/>
      <c r="J481" s="225"/>
      <c r="K481" s="225"/>
      <c r="L481" s="225"/>
      <c r="M481" s="225"/>
      <c r="N481" s="225"/>
      <c r="O481" s="225"/>
      <c r="P481" s="225"/>
      <c r="Q481" s="225"/>
      <c r="R481" s="225"/>
      <c r="S481" s="225"/>
      <c r="T481" s="225"/>
      <c r="U481" s="225"/>
      <c r="V481" s="225"/>
      <c r="W481" s="225"/>
      <c r="X481" s="225"/>
    </row>
    <row r="482" spans="1:24" ht="14.25" x14ac:dyDescent="0.2">
      <c r="A482" s="225"/>
      <c r="B482" s="225"/>
      <c r="C482" s="225"/>
      <c r="D482" s="225"/>
      <c r="E482" s="225"/>
      <c r="F482" s="225"/>
      <c r="G482" s="225"/>
      <c r="H482" s="225"/>
      <c r="I482" s="225"/>
      <c r="J482" s="225"/>
      <c r="K482" s="225"/>
      <c r="L482" s="225"/>
      <c r="M482" s="225"/>
      <c r="N482" s="225"/>
      <c r="O482" s="225"/>
      <c r="P482" s="225"/>
      <c r="Q482" s="225"/>
      <c r="R482" s="225"/>
      <c r="S482" s="225"/>
      <c r="T482" s="225"/>
      <c r="U482" s="225"/>
      <c r="V482" s="225"/>
      <c r="W482" s="225"/>
      <c r="X482" s="225"/>
    </row>
    <row r="483" spans="1:24" ht="14.25" x14ac:dyDescent="0.2">
      <c r="A483" s="225"/>
      <c r="B483" s="225"/>
      <c r="C483" s="225"/>
      <c r="D483" s="225"/>
      <c r="E483" s="225"/>
      <c r="F483" s="225"/>
      <c r="G483" s="225"/>
      <c r="H483" s="225"/>
      <c r="I483" s="225"/>
      <c r="J483" s="225"/>
      <c r="K483" s="225"/>
      <c r="L483" s="225"/>
      <c r="M483" s="225"/>
      <c r="N483" s="225"/>
      <c r="O483" s="225"/>
      <c r="P483" s="225"/>
      <c r="Q483" s="225"/>
      <c r="R483" s="225"/>
      <c r="S483" s="225"/>
      <c r="T483" s="225"/>
      <c r="U483" s="225"/>
      <c r="V483" s="225"/>
      <c r="W483" s="225"/>
      <c r="X483" s="225"/>
    </row>
    <row r="484" spans="1:24" ht="14.25" x14ac:dyDescent="0.2">
      <c r="A484" s="225"/>
      <c r="B484" s="225"/>
      <c r="C484" s="225"/>
      <c r="D484" s="225"/>
      <c r="E484" s="225"/>
      <c r="F484" s="225"/>
      <c r="G484" s="225"/>
      <c r="H484" s="225"/>
      <c r="I484" s="225"/>
      <c r="J484" s="225"/>
      <c r="K484" s="225"/>
      <c r="L484" s="225"/>
      <c r="M484" s="225"/>
      <c r="N484" s="225"/>
      <c r="O484" s="225"/>
      <c r="P484" s="225"/>
      <c r="Q484" s="225"/>
      <c r="R484" s="225"/>
      <c r="S484" s="225"/>
      <c r="T484" s="225"/>
      <c r="U484" s="225"/>
      <c r="V484" s="225"/>
      <c r="W484" s="225"/>
      <c r="X484" s="225"/>
    </row>
    <row r="485" spans="1:24" ht="14.25" x14ac:dyDescent="0.2">
      <c r="A485" s="225"/>
      <c r="B485" s="225"/>
      <c r="C485" s="225"/>
      <c r="D485" s="225"/>
      <c r="E485" s="225"/>
      <c r="F485" s="225"/>
      <c r="G485" s="225"/>
      <c r="H485" s="225"/>
      <c r="I485" s="225"/>
      <c r="J485" s="225"/>
      <c r="K485" s="225"/>
      <c r="L485" s="225"/>
      <c r="M485" s="225"/>
      <c r="N485" s="225"/>
      <c r="O485" s="225"/>
      <c r="P485" s="225"/>
      <c r="Q485" s="225"/>
      <c r="R485" s="225"/>
      <c r="S485" s="225"/>
      <c r="T485" s="225"/>
      <c r="U485" s="225"/>
      <c r="V485" s="225"/>
      <c r="W485" s="225"/>
      <c r="X485" s="225"/>
    </row>
    <row r="486" spans="1:24" ht="14.25" x14ac:dyDescent="0.2">
      <c r="A486" s="225"/>
      <c r="B486" s="225"/>
      <c r="C486" s="225"/>
      <c r="D486" s="225"/>
      <c r="E486" s="225"/>
      <c r="F486" s="225"/>
      <c r="G486" s="225"/>
      <c r="H486" s="225"/>
      <c r="I486" s="225"/>
      <c r="J486" s="225"/>
      <c r="K486" s="225"/>
      <c r="L486" s="225"/>
      <c r="M486" s="225"/>
      <c r="N486" s="225"/>
      <c r="O486" s="225"/>
      <c r="P486" s="225"/>
      <c r="Q486" s="225"/>
      <c r="R486" s="225"/>
      <c r="S486" s="225"/>
      <c r="T486" s="225"/>
      <c r="U486" s="225"/>
      <c r="V486" s="225"/>
      <c r="W486" s="225"/>
      <c r="X486" s="225"/>
    </row>
    <row r="487" spans="1:24" ht="14.25" x14ac:dyDescent="0.2">
      <c r="A487" s="225"/>
      <c r="B487" s="225"/>
      <c r="C487" s="225"/>
      <c r="D487" s="225"/>
      <c r="E487" s="225"/>
      <c r="F487" s="225"/>
      <c r="G487" s="225"/>
      <c r="H487" s="225"/>
      <c r="I487" s="225"/>
      <c r="J487" s="225"/>
      <c r="K487" s="225"/>
      <c r="L487" s="225"/>
      <c r="M487" s="225"/>
      <c r="N487" s="225"/>
      <c r="O487" s="225"/>
      <c r="P487" s="225"/>
      <c r="Q487" s="225"/>
      <c r="R487" s="225"/>
      <c r="S487" s="225"/>
      <c r="T487" s="225"/>
      <c r="U487" s="225"/>
      <c r="V487" s="225"/>
      <c r="W487" s="225"/>
      <c r="X487" s="225"/>
    </row>
    <row r="488" spans="1:24" ht="14.25" x14ac:dyDescent="0.2">
      <c r="A488" s="225"/>
      <c r="B488" s="225"/>
      <c r="C488" s="225"/>
      <c r="D488" s="225"/>
      <c r="E488" s="225"/>
      <c r="F488" s="225"/>
      <c r="G488" s="225"/>
      <c r="H488" s="225"/>
      <c r="I488" s="225"/>
      <c r="J488" s="225"/>
      <c r="K488" s="225"/>
      <c r="L488" s="225"/>
      <c r="M488" s="225"/>
      <c r="N488" s="225"/>
      <c r="O488" s="225"/>
      <c r="P488" s="225"/>
      <c r="Q488" s="225"/>
      <c r="R488" s="225"/>
      <c r="S488" s="225"/>
      <c r="T488" s="225"/>
      <c r="U488" s="225"/>
      <c r="V488" s="225"/>
      <c r="W488" s="225"/>
      <c r="X488" s="225"/>
    </row>
    <row r="489" spans="1:24" ht="14.25" x14ac:dyDescent="0.2">
      <c r="A489" s="225"/>
      <c r="B489" s="225"/>
      <c r="C489" s="225"/>
      <c r="D489" s="225"/>
      <c r="E489" s="225"/>
      <c r="F489" s="225"/>
      <c r="G489" s="225"/>
      <c r="H489" s="225"/>
      <c r="I489" s="225"/>
      <c r="J489" s="225"/>
      <c r="K489" s="225"/>
      <c r="L489" s="225"/>
      <c r="M489" s="225"/>
      <c r="N489" s="225"/>
      <c r="O489" s="225"/>
      <c r="P489" s="225"/>
      <c r="Q489" s="225"/>
      <c r="R489" s="225"/>
      <c r="S489" s="225"/>
      <c r="T489" s="225"/>
      <c r="U489" s="225"/>
      <c r="V489" s="225"/>
      <c r="W489" s="225"/>
      <c r="X489" s="225"/>
    </row>
    <row r="490" spans="1:24" ht="14.25" x14ac:dyDescent="0.2">
      <c r="A490" s="225"/>
      <c r="B490" s="225"/>
      <c r="C490" s="225"/>
      <c r="D490" s="225"/>
      <c r="E490" s="225"/>
      <c r="F490" s="225"/>
      <c r="G490" s="225"/>
      <c r="H490" s="225"/>
      <c r="I490" s="225"/>
      <c r="J490" s="225"/>
      <c r="K490" s="225"/>
      <c r="L490" s="225"/>
      <c r="M490" s="225"/>
      <c r="N490" s="225"/>
      <c r="O490" s="225"/>
      <c r="P490" s="225"/>
      <c r="Q490" s="225"/>
      <c r="R490" s="225"/>
      <c r="S490" s="225"/>
      <c r="T490" s="225"/>
      <c r="U490" s="225"/>
      <c r="V490" s="225"/>
      <c r="W490" s="225"/>
      <c r="X490" s="225"/>
    </row>
    <row r="491" spans="1:24" ht="14.25" x14ac:dyDescent="0.2">
      <c r="A491" s="225"/>
      <c r="B491" s="225"/>
      <c r="C491" s="225"/>
      <c r="D491" s="225"/>
      <c r="E491" s="225"/>
      <c r="F491" s="225"/>
      <c r="G491" s="225"/>
      <c r="H491" s="225"/>
      <c r="I491" s="225"/>
      <c r="J491" s="225"/>
      <c r="K491" s="225"/>
      <c r="L491" s="225"/>
      <c r="M491" s="225"/>
      <c r="N491" s="225"/>
      <c r="O491" s="225"/>
      <c r="P491" s="225"/>
      <c r="Q491" s="225"/>
      <c r="R491" s="225"/>
      <c r="S491" s="225"/>
      <c r="T491" s="225"/>
      <c r="U491" s="225"/>
      <c r="V491" s="225"/>
      <c r="W491" s="225"/>
      <c r="X491" s="225"/>
    </row>
    <row r="492" spans="1:24" ht="14.25" x14ac:dyDescent="0.2">
      <c r="A492" s="225"/>
      <c r="B492" s="225"/>
      <c r="C492" s="225"/>
      <c r="D492" s="225"/>
      <c r="E492" s="225"/>
      <c r="F492" s="225"/>
      <c r="G492" s="225"/>
      <c r="H492" s="225"/>
      <c r="I492" s="225"/>
      <c r="J492" s="225"/>
      <c r="K492" s="225"/>
      <c r="L492" s="225"/>
      <c r="M492" s="225"/>
      <c r="N492" s="225"/>
      <c r="O492" s="225"/>
      <c r="P492" s="225"/>
      <c r="Q492" s="225"/>
      <c r="R492" s="225"/>
      <c r="S492" s="225"/>
      <c r="T492" s="225"/>
      <c r="U492" s="225"/>
      <c r="V492" s="225"/>
      <c r="W492" s="225"/>
      <c r="X492" s="225"/>
    </row>
    <row r="493" spans="1:24" ht="14.25" x14ac:dyDescent="0.2">
      <c r="A493" s="225"/>
      <c r="B493" s="225"/>
      <c r="C493" s="225"/>
      <c r="D493" s="225"/>
      <c r="E493" s="225"/>
      <c r="F493" s="225"/>
      <c r="G493" s="225"/>
      <c r="H493" s="225"/>
      <c r="I493" s="225"/>
      <c r="J493" s="225"/>
      <c r="K493" s="225"/>
      <c r="L493" s="225"/>
      <c r="M493" s="225"/>
      <c r="N493" s="225"/>
      <c r="O493" s="225"/>
      <c r="P493" s="225"/>
      <c r="Q493" s="225"/>
      <c r="R493" s="225"/>
      <c r="S493" s="225"/>
      <c r="T493" s="225"/>
      <c r="U493" s="225"/>
      <c r="V493" s="225"/>
      <c r="W493" s="225"/>
      <c r="X493" s="225"/>
    </row>
    <row r="494" spans="1:24" ht="14.25" x14ac:dyDescent="0.2">
      <c r="A494" s="225"/>
      <c r="B494" s="225"/>
      <c r="C494" s="225"/>
      <c r="D494" s="225"/>
      <c r="E494" s="225"/>
      <c r="F494" s="225"/>
      <c r="G494" s="225"/>
      <c r="H494" s="225"/>
      <c r="I494" s="225"/>
      <c r="J494" s="225"/>
      <c r="K494" s="225"/>
      <c r="L494" s="225"/>
      <c r="M494" s="225"/>
      <c r="N494" s="225"/>
      <c r="O494" s="225"/>
      <c r="P494" s="225"/>
      <c r="Q494" s="225"/>
      <c r="R494" s="225"/>
      <c r="S494" s="225"/>
      <c r="T494" s="225"/>
      <c r="U494" s="225"/>
      <c r="V494" s="225"/>
      <c r="W494" s="225"/>
      <c r="X494" s="225"/>
    </row>
    <row r="495" spans="1:24" ht="14.25" x14ac:dyDescent="0.2">
      <c r="A495" s="225"/>
      <c r="B495" s="225"/>
      <c r="C495" s="225"/>
      <c r="D495" s="225"/>
      <c r="E495" s="225"/>
      <c r="F495" s="225"/>
      <c r="G495" s="225"/>
      <c r="H495" s="225"/>
      <c r="I495" s="225"/>
      <c r="J495" s="225"/>
      <c r="K495" s="225"/>
      <c r="L495" s="225"/>
      <c r="M495" s="225"/>
      <c r="N495" s="225"/>
      <c r="O495" s="225"/>
      <c r="P495" s="225"/>
      <c r="Q495" s="225"/>
      <c r="R495" s="225"/>
      <c r="S495" s="225"/>
      <c r="T495" s="225"/>
      <c r="U495" s="225"/>
      <c r="V495" s="225"/>
      <c r="W495" s="225"/>
      <c r="X495" s="225"/>
    </row>
    <row r="496" spans="1:24" ht="14.25" x14ac:dyDescent="0.2">
      <c r="A496" s="225"/>
      <c r="B496" s="225"/>
      <c r="C496" s="225"/>
      <c r="D496" s="225"/>
      <c r="E496" s="225"/>
      <c r="F496" s="225"/>
      <c r="G496" s="225"/>
      <c r="H496" s="225"/>
      <c r="I496" s="225"/>
      <c r="J496" s="225"/>
      <c r="K496" s="225"/>
      <c r="L496" s="225"/>
      <c r="M496" s="225"/>
      <c r="N496" s="225"/>
      <c r="O496" s="225"/>
      <c r="P496" s="225"/>
      <c r="Q496" s="225"/>
      <c r="R496" s="225"/>
      <c r="S496" s="225"/>
      <c r="T496" s="225"/>
      <c r="U496" s="225"/>
      <c r="V496" s="225"/>
      <c r="W496" s="225"/>
      <c r="X496" s="225"/>
    </row>
    <row r="497" spans="1:24" ht="14.25" x14ac:dyDescent="0.2">
      <c r="A497" s="225"/>
      <c r="B497" s="225"/>
      <c r="C497" s="225"/>
      <c r="D497" s="225"/>
      <c r="E497" s="225"/>
      <c r="F497" s="225"/>
      <c r="G497" s="225"/>
      <c r="H497" s="225"/>
      <c r="I497" s="225"/>
      <c r="J497" s="225"/>
      <c r="K497" s="225"/>
      <c r="L497" s="225"/>
      <c r="M497" s="225"/>
      <c r="N497" s="225"/>
      <c r="O497" s="225"/>
      <c r="P497" s="225"/>
      <c r="Q497" s="225"/>
      <c r="R497" s="225"/>
      <c r="S497" s="225"/>
      <c r="T497" s="225"/>
      <c r="U497" s="225"/>
      <c r="V497" s="225"/>
      <c r="W497" s="225"/>
      <c r="X497" s="225"/>
    </row>
    <row r="498" spans="1:24" ht="14.25" x14ac:dyDescent="0.2">
      <c r="A498" s="225"/>
      <c r="B498" s="225"/>
      <c r="C498" s="225"/>
      <c r="D498" s="225"/>
      <c r="E498" s="225"/>
      <c r="F498" s="225"/>
      <c r="G498" s="225"/>
      <c r="H498" s="225"/>
      <c r="I498" s="225"/>
      <c r="J498" s="225"/>
      <c r="K498" s="225"/>
      <c r="L498" s="225"/>
      <c r="M498" s="225"/>
      <c r="N498" s="225"/>
      <c r="O498" s="225"/>
      <c r="P498" s="225"/>
      <c r="Q498" s="225"/>
      <c r="R498" s="225"/>
      <c r="S498" s="225"/>
      <c r="T498" s="225"/>
      <c r="U498" s="225"/>
      <c r="V498" s="225"/>
      <c r="W498" s="225"/>
      <c r="X498" s="225"/>
    </row>
    <row r="499" spans="1:24" ht="14.25" x14ac:dyDescent="0.2">
      <c r="A499" s="225"/>
      <c r="B499" s="225"/>
      <c r="C499" s="225"/>
      <c r="D499" s="225"/>
      <c r="E499" s="225"/>
      <c r="F499" s="225"/>
      <c r="G499" s="225"/>
      <c r="H499" s="225"/>
      <c r="I499" s="225"/>
      <c r="J499" s="225"/>
      <c r="K499" s="225"/>
      <c r="L499" s="225"/>
      <c r="M499" s="225"/>
      <c r="N499" s="225"/>
      <c r="O499" s="225"/>
      <c r="P499" s="225"/>
      <c r="Q499" s="225"/>
      <c r="R499" s="225"/>
      <c r="S499" s="225"/>
      <c r="T499" s="225"/>
      <c r="U499" s="225"/>
      <c r="V499" s="225"/>
      <c r="W499" s="225"/>
      <c r="X499" s="225"/>
    </row>
    <row r="500" spans="1:24" ht="14.25" x14ac:dyDescent="0.2">
      <c r="A500" s="225"/>
      <c r="B500" s="225"/>
      <c r="C500" s="225"/>
      <c r="D500" s="225"/>
      <c r="E500" s="225"/>
      <c r="F500" s="225"/>
      <c r="G500" s="225"/>
      <c r="H500" s="225"/>
      <c r="I500" s="225"/>
      <c r="J500" s="225"/>
      <c r="K500" s="225"/>
      <c r="L500" s="225"/>
      <c r="M500" s="225"/>
      <c r="N500" s="225"/>
      <c r="O500" s="225"/>
      <c r="P500" s="225"/>
      <c r="Q500" s="225"/>
      <c r="R500" s="225"/>
      <c r="S500" s="225"/>
      <c r="T500" s="225"/>
      <c r="U500" s="225"/>
      <c r="V500" s="225"/>
      <c r="W500" s="225"/>
      <c r="X500" s="225"/>
    </row>
    <row r="501" spans="1:24" ht="14.25" x14ac:dyDescent="0.2">
      <c r="A501" s="225"/>
      <c r="B501" s="225"/>
      <c r="C501" s="225"/>
      <c r="D501" s="225"/>
      <c r="E501" s="225"/>
      <c r="F501" s="225"/>
      <c r="G501" s="225"/>
      <c r="H501" s="225"/>
      <c r="I501" s="225"/>
      <c r="J501" s="225"/>
      <c r="K501" s="225"/>
      <c r="L501" s="225"/>
      <c r="M501" s="225"/>
      <c r="N501" s="225"/>
      <c r="O501" s="225"/>
      <c r="P501" s="225"/>
      <c r="Q501" s="225"/>
      <c r="R501" s="225"/>
      <c r="S501" s="225"/>
      <c r="T501" s="225"/>
      <c r="U501" s="225"/>
      <c r="V501" s="225"/>
      <c r="W501" s="225"/>
      <c r="X501" s="225"/>
    </row>
    <row r="502" spans="1:24" ht="14.25" x14ac:dyDescent="0.2">
      <c r="A502" s="225"/>
      <c r="B502" s="225"/>
      <c r="C502" s="225"/>
      <c r="D502" s="225"/>
      <c r="E502" s="225"/>
      <c r="F502" s="225"/>
      <c r="G502" s="225"/>
      <c r="H502" s="225"/>
      <c r="I502" s="225"/>
      <c r="J502" s="225"/>
      <c r="K502" s="225"/>
      <c r="L502" s="225"/>
      <c r="M502" s="225"/>
      <c r="N502" s="225"/>
      <c r="O502" s="225"/>
      <c r="P502" s="225"/>
      <c r="Q502" s="225"/>
      <c r="R502" s="225"/>
      <c r="S502" s="225"/>
      <c r="T502" s="225"/>
      <c r="U502" s="225"/>
      <c r="V502" s="225"/>
      <c r="W502" s="225"/>
      <c r="X502" s="225"/>
    </row>
    <row r="503" spans="1:24" ht="14.25" x14ac:dyDescent="0.2">
      <c r="A503" s="225"/>
      <c r="B503" s="225"/>
      <c r="C503" s="225"/>
      <c r="D503" s="225"/>
      <c r="E503" s="225"/>
      <c r="F503" s="225"/>
      <c r="G503" s="225"/>
      <c r="H503" s="225"/>
      <c r="I503" s="225"/>
      <c r="J503" s="225"/>
      <c r="K503" s="225"/>
      <c r="L503" s="225"/>
      <c r="M503" s="225"/>
      <c r="N503" s="225"/>
      <c r="O503" s="225"/>
      <c r="P503" s="225"/>
      <c r="Q503" s="225"/>
      <c r="R503" s="225"/>
      <c r="S503" s="225"/>
      <c r="T503" s="225"/>
      <c r="U503" s="225"/>
      <c r="V503" s="225"/>
      <c r="W503" s="225"/>
      <c r="X503" s="225"/>
    </row>
    <row r="504" spans="1:24" ht="14.25" x14ac:dyDescent="0.2">
      <c r="A504" s="225"/>
      <c r="B504" s="225"/>
      <c r="C504" s="225"/>
      <c r="D504" s="225"/>
      <c r="E504" s="225"/>
      <c r="F504" s="225"/>
      <c r="G504" s="225"/>
      <c r="H504" s="225"/>
      <c r="I504" s="225"/>
      <c r="J504" s="225"/>
      <c r="K504" s="225"/>
      <c r="L504" s="225"/>
      <c r="M504" s="225"/>
      <c r="N504" s="225"/>
      <c r="O504" s="225"/>
      <c r="P504" s="225"/>
      <c r="Q504" s="225"/>
      <c r="R504" s="225"/>
      <c r="S504" s="225"/>
      <c r="T504" s="225"/>
      <c r="U504" s="225"/>
      <c r="V504" s="225"/>
      <c r="W504" s="225"/>
      <c r="X504" s="225"/>
    </row>
    <row r="505" spans="1:24" ht="14.25" x14ac:dyDescent="0.2">
      <c r="A505" s="225"/>
      <c r="B505" s="225"/>
      <c r="C505" s="225"/>
      <c r="D505" s="225"/>
      <c r="E505" s="225"/>
      <c r="F505" s="225"/>
      <c r="G505" s="225"/>
      <c r="H505" s="225"/>
      <c r="I505" s="225"/>
      <c r="J505" s="225"/>
      <c r="K505" s="225"/>
      <c r="L505" s="225"/>
      <c r="M505" s="225"/>
      <c r="N505" s="225"/>
      <c r="O505" s="225"/>
      <c r="P505" s="225"/>
      <c r="Q505" s="225"/>
      <c r="R505" s="225"/>
      <c r="S505" s="225"/>
      <c r="T505" s="225"/>
      <c r="U505" s="225"/>
      <c r="V505" s="225"/>
      <c r="W505" s="225"/>
      <c r="X505" s="225"/>
    </row>
    <row r="506" spans="1:24" ht="14.25" x14ac:dyDescent="0.2">
      <c r="A506" s="225"/>
      <c r="B506" s="225"/>
      <c r="C506" s="225"/>
      <c r="D506" s="225"/>
      <c r="E506" s="225"/>
      <c r="F506" s="225"/>
      <c r="G506" s="225"/>
      <c r="H506" s="225"/>
      <c r="I506" s="225"/>
      <c r="J506" s="225"/>
      <c r="K506" s="225"/>
      <c r="L506" s="225"/>
      <c r="M506" s="225"/>
      <c r="N506" s="225"/>
      <c r="O506" s="225"/>
      <c r="P506" s="225"/>
      <c r="Q506" s="225"/>
      <c r="R506" s="225"/>
      <c r="S506" s="225"/>
      <c r="T506" s="225"/>
      <c r="U506" s="225"/>
      <c r="V506" s="225"/>
      <c r="W506" s="225"/>
      <c r="X506" s="225"/>
    </row>
    <row r="507" spans="1:24" ht="14.25" x14ac:dyDescent="0.2">
      <c r="A507" s="225"/>
      <c r="B507" s="225"/>
      <c r="C507" s="225"/>
      <c r="D507" s="225"/>
      <c r="E507" s="225"/>
      <c r="F507" s="225"/>
      <c r="G507" s="225"/>
      <c r="H507" s="225"/>
      <c r="I507" s="225"/>
      <c r="J507" s="225"/>
      <c r="K507" s="225"/>
      <c r="L507" s="225"/>
      <c r="M507" s="225"/>
      <c r="N507" s="225"/>
      <c r="O507" s="225"/>
      <c r="P507" s="225"/>
      <c r="Q507" s="225"/>
      <c r="R507" s="225"/>
      <c r="S507" s="225"/>
      <c r="T507" s="225"/>
      <c r="U507" s="225"/>
      <c r="V507" s="225"/>
      <c r="W507" s="225"/>
      <c r="X507" s="225"/>
    </row>
    <row r="508" spans="1:24" ht="14.25" x14ac:dyDescent="0.2">
      <c r="A508" s="225"/>
      <c r="B508" s="225"/>
      <c r="C508" s="225"/>
      <c r="D508" s="225"/>
      <c r="E508" s="225"/>
      <c r="F508" s="225"/>
      <c r="G508" s="225"/>
      <c r="H508" s="225"/>
      <c r="I508" s="225"/>
      <c r="J508" s="225"/>
      <c r="K508" s="225"/>
      <c r="L508" s="225"/>
      <c r="M508" s="225"/>
      <c r="N508" s="225"/>
      <c r="O508" s="225"/>
      <c r="P508" s="225"/>
      <c r="Q508" s="225"/>
      <c r="R508" s="225"/>
      <c r="S508" s="225"/>
      <c r="T508" s="225"/>
      <c r="U508" s="225"/>
      <c r="V508" s="225"/>
      <c r="W508" s="225"/>
      <c r="X508" s="225"/>
    </row>
    <row r="509" spans="1:24" ht="14.25" x14ac:dyDescent="0.2">
      <c r="A509" s="225"/>
      <c r="B509" s="225"/>
      <c r="C509" s="225"/>
      <c r="D509" s="225"/>
      <c r="E509" s="225"/>
      <c r="F509" s="225"/>
      <c r="G509" s="225"/>
      <c r="H509" s="225"/>
      <c r="I509" s="225"/>
      <c r="J509" s="225"/>
      <c r="K509" s="225"/>
      <c r="L509" s="225"/>
      <c r="M509" s="225"/>
      <c r="N509" s="225"/>
      <c r="O509" s="225"/>
      <c r="P509" s="225"/>
      <c r="Q509" s="225"/>
      <c r="R509" s="225"/>
      <c r="S509" s="225"/>
      <c r="T509" s="225"/>
      <c r="U509" s="225"/>
      <c r="V509" s="225"/>
      <c r="W509" s="225"/>
      <c r="X509" s="225"/>
    </row>
    <row r="510" spans="1:24" ht="14.25" x14ac:dyDescent="0.2">
      <c r="A510" s="225"/>
      <c r="B510" s="225"/>
      <c r="C510" s="225"/>
      <c r="D510" s="225"/>
      <c r="E510" s="225"/>
      <c r="F510" s="225"/>
      <c r="G510" s="225"/>
      <c r="H510" s="225"/>
      <c r="I510" s="225"/>
      <c r="J510" s="225"/>
      <c r="K510" s="225"/>
      <c r="L510" s="225"/>
      <c r="M510" s="225"/>
      <c r="N510" s="225"/>
      <c r="O510" s="225"/>
      <c r="P510" s="225"/>
      <c r="Q510" s="225"/>
      <c r="R510" s="225"/>
      <c r="S510" s="225"/>
      <c r="T510" s="225"/>
      <c r="U510" s="225"/>
      <c r="V510" s="225"/>
      <c r="W510" s="225"/>
      <c r="X510" s="225"/>
    </row>
    <row r="511" spans="1:24" ht="14.25" x14ac:dyDescent="0.2">
      <c r="A511" s="225"/>
      <c r="B511" s="225"/>
      <c r="C511" s="225"/>
      <c r="D511" s="225"/>
      <c r="E511" s="225"/>
      <c r="F511" s="225"/>
      <c r="G511" s="225"/>
      <c r="H511" s="225"/>
      <c r="I511" s="225"/>
      <c r="J511" s="225"/>
      <c r="K511" s="225"/>
      <c r="L511" s="225"/>
      <c r="M511" s="225"/>
      <c r="N511" s="225"/>
      <c r="O511" s="225"/>
      <c r="P511" s="225"/>
      <c r="Q511" s="225"/>
      <c r="R511" s="225"/>
      <c r="S511" s="225"/>
      <c r="T511" s="225"/>
      <c r="U511" s="225"/>
      <c r="V511" s="225"/>
      <c r="W511" s="225"/>
      <c r="X511" s="225"/>
    </row>
    <row r="512" spans="1:24" ht="14.25" x14ac:dyDescent="0.2">
      <c r="A512" s="225"/>
      <c r="B512" s="225"/>
      <c r="C512" s="225"/>
      <c r="D512" s="225"/>
      <c r="E512" s="225"/>
      <c r="F512" s="225"/>
      <c r="G512" s="225"/>
      <c r="H512" s="225"/>
      <c r="I512" s="225"/>
      <c r="J512" s="225"/>
      <c r="K512" s="225"/>
      <c r="L512" s="225"/>
      <c r="M512" s="225"/>
      <c r="N512" s="225"/>
      <c r="O512" s="225"/>
      <c r="P512" s="225"/>
      <c r="Q512" s="225"/>
      <c r="R512" s="225"/>
      <c r="S512" s="225"/>
      <c r="T512" s="225"/>
      <c r="U512" s="225"/>
      <c r="V512" s="225"/>
      <c r="W512" s="225"/>
      <c r="X512" s="225"/>
    </row>
    <row r="513" spans="1:24" ht="14.25" x14ac:dyDescent="0.2">
      <c r="A513" s="225"/>
      <c r="B513" s="225"/>
      <c r="C513" s="225"/>
      <c r="D513" s="225"/>
      <c r="E513" s="225"/>
      <c r="F513" s="225"/>
      <c r="G513" s="225"/>
      <c r="H513" s="225"/>
      <c r="I513" s="225"/>
      <c r="J513" s="225"/>
      <c r="K513" s="225"/>
      <c r="L513" s="225"/>
      <c r="M513" s="225"/>
      <c r="N513" s="225"/>
      <c r="O513" s="225"/>
      <c r="P513" s="225"/>
      <c r="Q513" s="225"/>
      <c r="R513" s="225"/>
      <c r="S513" s="225"/>
      <c r="T513" s="225"/>
      <c r="U513" s="225"/>
      <c r="V513" s="225"/>
      <c r="W513" s="225"/>
      <c r="X513" s="225"/>
    </row>
    <row r="514" spans="1:24" ht="14.25" x14ac:dyDescent="0.2">
      <c r="A514" s="225"/>
      <c r="B514" s="225"/>
      <c r="C514" s="225"/>
      <c r="D514" s="225"/>
      <c r="E514" s="225"/>
      <c r="F514" s="225"/>
      <c r="G514" s="225"/>
      <c r="H514" s="225"/>
      <c r="I514" s="225"/>
      <c r="J514" s="225"/>
      <c r="K514" s="225"/>
      <c r="L514" s="225"/>
      <c r="M514" s="225"/>
      <c r="N514" s="225"/>
      <c r="O514" s="225"/>
      <c r="P514" s="225"/>
      <c r="Q514" s="225"/>
      <c r="R514" s="225"/>
      <c r="S514" s="225"/>
      <c r="T514" s="225"/>
      <c r="U514" s="225"/>
      <c r="V514" s="225"/>
      <c r="W514" s="225"/>
      <c r="X514" s="225"/>
    </row>
    <row r="515" spans="1:24" ht="14.25" x14ac:dyDescent="0.2">
      <c r="A515" s="225"/>
      <c r="B515" s="225"/>
      <c r="C515" s="225"/>
      <c r="D515" s="225"/>
      <c r="E515" s="225"/>
      <c r="F515" s="225"/>
      <c r="G515" s="225"/>
      <c r="H515" s="225"/>
      <c r="I515" s="225"/>
      <c r="J515" s="225"/>
      <c r="K515" s="225"/>
      <c r="L515" s="225"/>
      <c r="M515" s="225"/>
      <c r="N515" s="225"/>
      <c r="O515" s="225"/>
      <c r="P515" s="225"/>
      <c r="Q515" s="225"/>
      <c r="R515" s="225"/>
      <c r="S515" s="225"/>
      <c r="T515" s="225"/>
      <c r="U515" s="225"/>
      <c r="V515" s="225"/>
      <c r="W515" s="225"/>
      <c r="X515" s="225"/>
    </row>
    <row r="516" spans="1:24" ht="14.25" x14ac:dyDescent="0.2">
      <c r="A516" s="225"/>
      <c r="B516" s="225"/>
      <c r="C516" s="225"/>
      <c r="D516" s="225"/>
      <c r="E516" s="225"/>
      <c r="F516" s="225"/>
      <c r="G516" s="225"/>
      <c r="H516" s="225"/>
      <c r="I516" s="225"/>
      <c r="J516" s="225"/>
      <c r="K516" s="225"/>
      <c r="L516" s="225"/>
      <c r="M516" s="225"/>
      <c r="N516" s="225"/>
      <c r="O516" s="225"/>
      <c r="P516" s="225"/>
      <c r="Q516" s="225"/>
      <c r="R516" s="225"/>
      <c r="S516" s="225"/>
      <c r="T516" s="225"/>
      <c r="U516" s="225"/>
      <c r="V516" s="225"/>
      <c r="W516" s="225"/>
      <c r="X516" s="225"/>
    </row>
    <row r="517" spans="1:24" ht="14.25" x14ac:dyDescent="0.2">
      <c r="A517" s="225"/>
      <c r="B517" s="225"/>
      <c r="C517" s="225"/>
      <c r="D517" s="225"/>
      <c r="E517" s="225"/>
      <c r="F517" s="225"/>
      <c r="G517" s="225"/>
      <c r="H517" s="225"/>
      <c r="I517" s="225"/>
      <c r="J517" s="225"/>
      <c r="K517" s="225"/>
      <c r="L517" s="225"/>
      <c r="M517" s="225"/>
      <c r="N517" s="225"/>
      <c r="O517" s="225"/>
      <c r="P517" s="225"/>
      <c r="Q517" s="225"/>
      <c r="R517" s="225"/>
      <c r="S517" s="225"/>
      <c r="T517" s="225"/>
      <c r="U517" s="225"/>
      <c r="V517" s="225"/>
      <c r="W517" s="225"/>
      <c r="X517" s="225"/>
    </row>
    <row r="518" spans="1:24" ht="14.25" x14ac:dyDescent="0.2">
      <c r="A518" s="225"/>
      <c r="B518" s="225"/>
      <c r="C518" s="225"/>
      <c r="D518" s="225"/>
      <c r="E518" s="225"/>
      <c r="F518" s="225"/>
      <c r="G518" s="225"/>
      <c r="H518" s="225"/>
      <c r="I518" s="225"/>
      <c r="J518" s="225"/>
      <c r="K518" s="225"/>
      <c r="L518" s="225"/>
      <c r="M518" s="225"/>
      <c r="N518" s="225"/>
      <c r="O518" s="225"/>
      <c r="P518" s="225"/>
      <c r="Q518" s="225"/>
      <c r="R518" s="225"/>
      <c r="S518" s="225"/>
      <c r="T518" s="225"/>
      <c r="U518" s="225"/>
      <c r="V518" s="225"/>
      <c r="W518" s="225"/>
      <c r="X518" s="225"/>
    </row>
    <row r="519" spans="1:24" ht="14.25" x14ac:dyDescent="0.2">
      <c r="A519" s="225"/>
      <c r="B519" s="225"/>
      <c r="C519" s="225"/>
      <c r="D519" s="225"/>
      <c r="E519" s="225"/>
      <c r="F519" s="225"/>
      <c r="G519" s="225"/>
      <c r="H519" s="225"/>
      <c r="I519" s="225"/>
      <c r="J519" s="225"/>
      <c r="K519" s="225"/>
      <c r="L519" s="225"/>
      <c r="M519" s="225"/>
      <c r="N519" s="225"/>
      <c r="O519" s="225"/>
      <c r="P519" s="225"/>
      <c r="Q519" s="225"/>
      <c r="R519" s="225"/>
      <c r="S519" s="225"/>
      <c r="T519" s="225"/>
      <c r="U519" s="225"/>
      <c r="V519" s="225"/>
      <c r="W519" s="225"/>
      <c r="X519" s="225"/>
    </row>
    <row r="520" spans="1:24" ht="14.25" x14ac:dyDescent="0.2">
      <c r="A520" s="225"/>
      <c r="B520" s="225"/>
      <c r="C520" s="225"/>
      <c r="D520" s="225"/>
      <c r="E520" s="225"/>
      <c r="F520" s="225"/>
      <c r="G520" s="225"/>
      <c r="H520" s="225"/>
      <c r="I520" s="225"/>
      <c r="J520" s="225"/>
      <c r="K520" s="225"/>
      <c r="L520" s="225"/>
      <c r="M520" s="225"/>
      <c r="N520" s="225"/>
      <c r="O520" s="225"/>
      <c r="P520" s="225"/>
      <c r="Q520" s="225"/>
      <c r="R520" s="225"/>
      <c r="S520" s="225"/>
      <c r="T520" s="225"/>
      <c r="U520" s="225"/>
      <c r="V520" s="225"/>
      <c r="W520" s="225"/>
      <c r="X520" s="225"/>
    </row>
    <row r="521" spans="1:24" ht="14.25" x14ac:dyDescent="0.2">
      <c r="A521" s="225"/>
      <c r="B521" s="225"/>
      <c r="C521" s="225"/>
      <c r="D521" s="225"/>
      <c r="E521" s="225"/>
      <c r="F521" s="225"/>
      <c r="G521" s="225"/>
      <c r="H521" s="225"/>
      <c r="I521" s="225"/>
      <c r="J521" s="225"/>
      <c r="K521" s="225"/>
      <c r="L521" s="225"/>
      <c r="M521" s="225"/>
      <c r="N521" s="225"/>
      <c r="O521" s="225"/>
      <c r="P521" s="225"/>
      <c r="Q521" s="225"/>
      <c r="R521" s="225"/>
      <c r="S521" s="225"/>
      <c r="T521" s="225"/>
      <c r="U521" s="225"/>
      <c r="V521" s="225"/>
      <c r="W521" s="225"/>
      <c r="X521" s="225"/>
    </row>
    <row r="522" spans="1:24" ht="14.25" x14ac:dyDescent="0.2">
      <c r="A522" s="225"/>
      <c r="B522" s="225"/>
      <c r="C522" s="225"/>
      <c r="D522" s="225"/>
      <c r="E522" s="225"/>
      <c r="F522" s="225"/>
      <c r="G522" s="225"/>
      <c r="H522" s="225"/>
      <c r="I522" s="225"/>
      <c r="J522" s="225"/>
      <c r="K522" s="225"/>
      <c r="L522" s="225"/>
      <c r="M522" s="225"/>
      <c r="N522" s="225"/>
      <c r="O522" s="225"/>
      <c r="P522" s="225"/>
      <c r="Q522" s="225"/>
      <c r="R522" s="225"/>
      <c r="S522" s="225"/>
      <c r="T522" s="225"/>
      <c r="U522" s="225"/>
      <c r="V522" s="225"/>
      <c r="W522" s="225"/>
      <c r="X522" s="225"/>
    </row>
    <row r="523" spans="1:24" ht="14.25" x14ac:dyDescent="0.2">
      <c r="A523" s="225"/>
      <c r="B523" s="225"/>
      <c r="C523" s="225"/>
      <c r="D523" s="225"/>
      <c r="E523" s="225"/>
      <c r="F523" s="225"/>
      <c r="G523" s="225"/>
      <c r="H523" s="225"/>
      <c r="I523" s="225"/>
      <c r="J523" s="225"/>
      <c r="K523" s="225"/>
      <c r="L523" s="225"/>
      <c r="M523" s="225"/>
      <c r="N523" s="225"/>
      <c r="O523" s="225"/>
      <c r="P523" s="225"/>
      <c r="Q523" s="225"/>
      <c r="R523" s="225"/>
      <c r="S523" s="225"/>
      <c r="T523" s="225"/>
      <c r="U523" s="225"/>
      <c r="V523" s="225"/>
      <c r="W523" s="225"/>
      <c r="X523" s="225"/>
    </row>
    <row r="524" spans="1:24" ht="14.25" x14ac:dyDescent="0.2">
      <c r="A524" s="225"/>
      <c r="B524" s="225"/>
      <c r="C524" s="225"/>
      <c r="D524" s="225"/>
      <c r="E524" s="225"/>
      <c r="F524" s="225"/>
      <c r="G524" s="225"/>
      <c r="H524" s="225"/>
      <c r="I524" s="225"/>
      <c r="J524" s="225"/>
      <c r="K524" s="225"/>
      <c r="L524" s="225"/>
      <c r="M524" s="225"/>
      <c r="N524" s="225"/>
      <c r="O524" s="225"/>
      <c r="P524" s="225"/>
      <c r="Q524" s="225"/>
      <c r="R524" s="225"/>
      <c r="S524" s="225"/>
      <c r="T524" s="225"/>
      <c r="U524" s="225"/>
      <c r="V524" s="225"/>
      <c r="W524" s="225"/>
      <c r="X524" s="225"/>
    </row>
    <row r="525" spans="1:24" ht="14.25" x14ac:dyDescent="0.2">
      <c r="A525" s="225"/>
      <c r="B525" s="225"/>
      <c r="C525" s="225"/>
      <c r="D525" s="225"/>
      <c r="E525" s="225"/>
      <c r="F525" s="225"/>
      <c r="G525" s="225"/>
      <c r="H525" s="225"/>
      <c r="I525" s="225"/>
      <c r="J525" s="225"/>
      <c r="K525" s="225"/>
      <c r="L525" s="225"/>
      <c r="M525" s="225"/>
      <c r="N525" s="225"/>
      <c r="O525" s="225"/>
      <c r="P525" s="225"/>
      <c r="Q525" s="225"/>
      <c r="R525" s="225"/>
      <c r="S525" s="225"/>
      <c r="T525" s="225"/>
      <c r="U525" s="225"/>
      <c r="V525" s="225"/>
      <c r="W525" s="225"/>
      <c r="X525" s="225"/>
    </row>
    <row r="526" spans="1:24" ht="14.25" x14ac:dyDescent="0.2">
      <c r="A526" s="225"/>
      <c r="B526" s="225"/>
      <c r="C526" s="225"/>
      <c r="D526" s="225"/>
      <c r="E526" s="225"/>
      <c r="F526" s="225"/>
      <c r="G526" s="225"/>
      <c r="H526" s="225"/>
      <c r="I526" s="225"/>
      <c r="J526" s="225"/>
      <c r="K526" s="225"/>
      <c r="L526" s="225"/>
      <c r="M526" s="225"/>
      <c r="N526" s="225"/>
      <c r="O526" s="225"/>
      <c r="P526" s="225"/>
      <c r="Q526" s="225"/>
      <c r="R526" s="225"/>
      <c r="S526" s="225"/>
      <c r="T526" s="225"/>
      <c r="U526" s="225"/>
      <c r="V526" s="225"/>
      <c r="W526" s="225"/>
      <c r="X526" s="225"/>
    </row>
    <row r="527" spans="1:24" ht="14.25" x14ac:dyDescent="0.2">
      <c r="A527" s="225"/>
      <c r="B527" s="225"/>
      <c r="C527" s="225"/>
      <c r="D527" s="225"/>
      <c r="E527" s="225"/>
      <c r="F527" s="225"/>
      <c r="G527" s="225"/>
      <c r="H527" s="225"/>
      <c r="I527" s="225"/>
      <c r="J527" s="225"/>
      <c r="K527" s="225"/>
      <c r="L527" s="225"/>
      <c r="M527" s="225"/>
      <c r="N527" s="225"/>
      <c r="O527" s="225"/>
      <c r="P527" s="225"/>
      <c r="Q527" s="225"/>
      <c r="R527" s="225"/>
      <c r="S527" s="225"/>
      <c r="T527" s="225"/>
      <c r="U527" s="225"/>
      <c r="V527" s="225"/>
      <c r="W527" s="225"/>
      <c r="X527" s="225"/>
    </row>
    <row r="528" spans="1:24" ht="14.25" x14ac:dyDescent="0.2">
      <c r="A528" s="225"/>
      <c r="B528" s="225"/>
      <c r="C528" s="225"/>
      <c r="D528" s="225"/>
      <c r="E528" s="225"/>
      <c r="F528" s="225"/>
      <c r="G528" s="225"/>
      <c r="H528" s="225"/>
      <c r="I528" s="225"/>
      <c r="J528" s="225"/>
      <c r="K528" s="225"/>
      <c r="L528" s="225"/>
      <c r="M528" s="225"/>
      <c r="N528" s="225"/>
      <c r="O528" s="225"/>
      <c r="P528" s="225"/>
      <c r="Q528" s="225"/>
      <c r="R528" s="225"/>
      <c r="S528" s="225"/>
      <c r="T528" s="225"/>
      <c r="U528" s="225"/>
      <c r="V528" s="225"/>
      <c r="W528" s="225"/>
      <c r="X528" s="225"/>
    </row>
    <row r="529" spans="1:24" ht="14.25" x14ac:dyDescent="0.2">
      <c r="A529" s="225"/>
      <c r="B529" s="225"/>
      <c r="C529" s="225"/>
      <c r="D529" s="225"/>
      <c r="E529" s="225"/>
      <c r="F529" s="225"/>
      <c r="G529" s="225"/>
      <c r="H529" s="225"/>
      <c r="I529" s="225"/>
      <c r="J529" s="225"/>
      <c r="K529" s="225"/>
      <c r="L529" s="225"/>
      <c r="M529" s="225"/>
      <c r="N529" s="225"/>
      <c r="O529" s="225"/>
      <c r="P529" s="225"/>
      <c r="Q529" s="225"/>
      <c r="R529" s="225"/>
      <c r="S529" s="225"/>
      <c r="T529" s="225"/>
      <c r="U529" s="225"/>
      <c r="V529" s="225"/>
      <c r="W529" s="225"/>
      <c r="X529" s="225"/>
    </row>
    <row r="530" spans="1:24" ht="14.25" x14ac:dyDescent="0.2">
      <c r="A530" s="225"/>
      <c r="B530" s="225"/>
      <c r="C530" s="225"/>
      <c r="D530" s="225"/>
      <c r="E530" s="225"/>
      <c r="F530" s="225"/>
      <c r="G530" s="225"/>
      <c r="H530" s="225"/>
      <c r="I530" s="225"/>
      <c r="J530" s="225"/>
      <c r="K530" s="225"/>
      <c r="L530" s="225"/>
      <c r="M530" s="225"/>
      <c r="N530" s="225"/>
      <c r="O530" s="225"/>
      <c r="P530" s="225"/>
      <c r="Q530" s="225"/>
      <c r="R530" s="225"/>
      <c r="S530" s="225"/>
      <c r="T530" s="225"/>
      <c r="U530" s="225"/>
      <c r="V530" s="225"/>
      <c r="W530" s="225"/>
      <c r="X530" s="225"/>
    </row>
    <row r="531" spans="1:24" ht="14.25" x14ac:dyDescent="0.2">
      <c r="A531" s="225"/>
      <c r="B531" s="225"/>
      <c r="C531" s="225"/>
      <c r="D531" s="225"/>
      <c r="E531" s="225"/>
      <c r="F531" s="225"/>
      <c r="G531" s="225"/>
      <c r="H531" s="225"/>
      <c r="I531" s="225"/>
      <c r="J531" s="225"/>
      <c r="K531" s="225"/>
      <c r="L531" s="225"/>
      <c r="M531" s="225"/>
      <c r="N531" s="225"/>
      <c r="O531" s="225"/>
      <c r="P531" s="225"/>
      <c r="Q531" s="225"/>
      <c r="R531" s="225"/>
      <c r="S531" s="225"/>
      <c r="T531" s="225"/>
      <c r="U531" s="225"/>
      <c r="V531" s="225"/>
      <c r="W531" s="225"/>
      <c r="X531" s="225"/>
    </row>
    <row r="532" spans="1:24" ht="14.25" x14ac:dyDescent="0.2">
      <c r="A532" s="225"/>
      <c r="B532" s="225"/>
      <c r="C532" s="225"/>
      <c r="D532" s="225"/>
      <c r="E532" s="225"/>
      <c r="F532" s="225"/>
      <c r="G532" s="225"/>
      <c r="H532" s="225"/>
      <c r="I532" s="225"/>
      <c r="J532" s="225"/>
      <c r="K532" s="225"/>
      <c r="L532" s="225"/>
      <c r="M532" s="225"/>
      <c r="N532" s="225"/>
      <c r="O532" s="225"/>
      <c r="P532" s="225"/>
      <c r="Q532" s="225"/>
      <c r="R532" s="225"/>
      <c r="S532" s="225"/>
      <c r="T532" s="225"/>
      <c r="U532" s="225"/>
      <c r="V532" s="225"/>
      <c r="W532" s="225"/>
      <c r="X532" s="225"/>
    </row>
    <row r="533" spans="1:24" ht="14.25" x14ac:dyDescent="0.2">
      <c r="A533" s="225"/>
      <c r="B533" s="225"/>
      <c r="C533" s="225"/>
      <c r="D533" s="225"/>
      <c r="E533" s="225"/>
      <c r="F533" s="225"/>
      <c r="G533" s="225"/>
      <c r="H533" s="225"/>
      <c r="I533" s="225"/>
      <c r="J533" s="225"/>
      <c r="K533" s="225"/>
      <c r="L533" s="225"/>
      <c r="M533" s="225"/>
      <c r="N533" s="225"/>
      <c r="O533" s="225"/>
      <c r="P533" s="225"/>
      <c r="Q533" s="225"/>
      <c r="R533" s="225"/>
      <c r="S533" s="225"/>
      <c r="T533" s="225"/>
      <c r="U533" s="225"/>
      <c r="V533" s="225"/>
      <c r="W533" s="225"/>
      <c r="X533" s="225"/>
    </row>
    <row r="534" spans="1:24" ht="14.25" x14ac:dyDescent="0.2">
      <c r="A534" s="225"/>
      <c r="B534" s="225"/>
      <c r="C534" s="225"/>
      <c r="D534" s="225"/>
      <c r="E534" s="225"/>
      <c r="F534" s="225"/>
      <c r="G534" s="225"/>
      <c r="H534" s="225"/>
      <c r="I534" s="225"/>
      <c r="J534" s="225"/>
      <c r="K534" s="225"/>
      <c r="L534" s="225"/>
      <c r="M534" s="225"/>
      <c r="N534" s="225"/>
      <c r="O534" s="225"/>
      <c r="P534" s="225"/>
      <c r="Q534" s="225"/>
      <c r="R534" s="225"/>
      <c r="S534" s="225"/>
      <c r="T534" s="225"/>
      <c r="U534" s="225"/>
      <c r="V534" s="225"/>
      <c r="W534" s="225"/>
      <c r="X534" s="225"/>
    </row>
    <row r="535" spans="1:24" ht="14.25" x14ac:dyDescent="0.2">
      <c r="A535" s="225"/>
      <c r="B535" s="225"/>
      <c r="C535" s="225"/>
      <c r="D535" s="225"/>
      <c r="E535" s="225"/>
      <c r="F535" s="225"/>
      <c r="G535" s="225"/>
      <c r="H535" s="225"/>
      <c r="I535" s="225"/>
      <c r="J535" s="225"/>
      <c r="K535" s="225"/>
      <c r="L535" s="225"/>
      <c r="M535" s="225"/>
      <c r="N535" s="225"/>
      <c r="O535" s="225"/>
      <c r="P535" s="225"/>
      <c r="Q535" s="225"/>
      <c r="R535" s="225"/>
      <c r="S535" s="225"/>
      <c r="T535" s="225"/>
      <c r="U535" s="225"/>
      <c r="V535" s="225"/>
      <c r="W535" s="225"/>
      <c r="X535" s="225"/>
    </row>
    <row r="536" spans="1:24" ht="14.25" x14ac:dyDescent="0.2">
      <c r="A536" s="225"/>
      <c r="B536" s="225"/>
      <c r="C536" s="225"/>
      <c r="D536" s="225"/>
      <c r="E536" s="225"/>
      <c r="F536" s="225"/>
      <c r="G536" s="225"/>
      <c r="H536" s="225"/>
      <c r="I536" s="225"/>
      <c r="J536" s="225"/>
      <c r="K536" s="225"/>
      <c r="L536" s="225"/>
      <c r="M536" s="225"/>
      <c r="N536" s="225"/>
      <c r="O536" s="225"/>
      <c r="P536" s="225"/>
      <c r="Q536" s="225"/>
      <c r="R536" s="225"/>
      <c r="S536" s="225"/>
      <c r="T536" s="225"/>
      <c r="U536" s="225"/>
      <c r="V536" s="225"/>
      <c r="W536" s="225"/>
      <c r="X536" s="225"/>
    </row>
    <row r="537" spans="1:24" ht="14.25" x14ac:dyDescent="0.2">
      <c r="A537" s="225"/>
      <c r="B537" s="225"/>
      <c r="C537" s="225"/>
      <c r="D537" s="225"/>
      <c r="E537" s="225"/>
      <c r="F537" s="225"/>
      <c r="G537" s="225"/>
      <c r="H537" s="225"/>
      <c r="I537" s="225"/>
      <c r="J537" s="225"/>
      <c r="K537" s="225"/>
      <c r="L537" s="225"/>
      <c r="M537" s="225"/>
      <c r="N537" s="225"/>
      <c r="O537" s="225"/>
      <c r="P537" s="225"/>
      <c r="Q537" s="225"/>
      <c r="R537" s="225"/>
      <c r="S537" s="225"/>
      <c r="T537" s="225"/>
      <c r="U537" s="225"/>
      <c r="V537" s="225"/>
      <c r="W537" s="225"/>
      <c r="X537" s="225"/>
    </row>
    <row r="538" spans="1:24" ht="14.25" x14ac:dyDescent="0.2">
      <c r="A538" s="225"/>
      <c r="B538" s="225"/>
      <c r="C538" s="225"/>
      <c r="D538" s="225"/>
      <c r="E538" s="225"/>
      <c r="F538" s="225"/>
      <c r="G538" s="225"/>
      <c r="H538" s="225"/>
      <c r="I538" s="225"/>
      <c r="J538" s="225"/>
      <c r="K538" s="225"/>
      <c r="L538" s="225"/>
      <c r="M538" s="225"/>
      <c r="N538" s="225"/>
      <c r="O538" s="225"/>
      <c r="P538" s="225"/>
      <c r="Q538" s="225"/>
      <c r="R538" s="225"/>
      <c r="S538" s="225"/>
      <c r="T538" s="225"/>
      <c r="U538" s="225"/>
      <c r="V538" s="225"/>
      <c r="W538" s="225"/>
      <c r="X538" s="225"/>
    </row>
    <row r="539" spans="1:24" ht="14.25" x14ac:dyDescent="0.2">
      <c r="A539" s="225"/>
      <c r="B539" s="225"/>
      <c r="C539" s="225"/>
      <c r="D539" s="225"/>
      <c r="E539" s="225"/>
      <c r="F539" s="225"/>
      <c r="G539" s="225"/>
      <c r="H539" s="225"/>
      <c r="I539" s="225"/>
      <c r="J539" s="225"/>
      <c r="K539" s="225"/>
      <c r="L539" s="225"/>
      <c r="M539" s="225"/>
      <c r="N539" s="225"/>
      <c r="O539" s="225"/>
      <c r="P539" s="225"/>
      <c r="Q539" s="225"/>
      <c r="R539" s="225"/>
      <c r="S539" s="225"/>
      <c r="T539" s="225"/>
      <c r="U539" s="225"/>
      <c r="V539" s="225"/>
      <c r="W539" s="225"/>
      <c r="X539" s="225"/>
    </row>
    <row r="540" spans="1:24" ht="14.25" x14ac:dyDescent="0.2">
      <c r="A540" s="225"/>
      <c r="B540" s="225"/>
      <c r="C540" s="225"/>
      <c r="D540" s="225"/>
      <c r="E540" s="225"/>
      <c r="F540" s="225"/>
      <c r="G540" s="225"/>
      <c r="H540" s="225"/>
      <c r="I540" s="225"/>
      <c r="J540" s="225"/>
      <c r="K540" s="225"/>
      <c r="L540" s="225"/>
      <c r="M540" s="225"/>
      <c r="N540" s="225"/>
      <c r="O540" s="225"/>
      <c r="P540" s="225"/>
      <c r="Q540" s="225"/>
      <c r="R540" s="225"/>
      <c r="S540" s="225"/>
      <c r="T540" s="225"/>
      <c r="U540" s="225"/>
      <c r="V540" s="225"/>
      <c r="W540" s="225"/>
      <c r="X540" s="225"/>
    </row>
    <row r="541" spans="1:24" ht="14.25" x14ac:dyDescent="0.2">
      <c r="A541" s="225"/>
      <c r="B541" s="225"/>
      <c r="C541" s="225"/>
      <c r="D541" s="225"/>
      <c r="E541" s="225"/>
      <c r="F541" s="225"/>
      <c r="G541" s="225"/>
      <c r="H541" s="225"/>
      <c r="I541" s="225"/>
      <c r="J541" s="225"/>
      <c r="K541" s="225"/>
      <c r="L541" s="225"/>
      <c r="M541" s="225"/>
      <c r="N541" s="225"/>
      <c r="O541" s="225"/>
      <c r="P541" s="225"/>
      <c r="Q541" s="225"/>
      <c r="R541" s="225"/>
      <c r="S541" s="225"/>
      <c r="T541" s="225"/>
      <c r="U541" s="225"/>
      <c r="V541" s="225"/>
      <c r="W541" s="225"/>
      <c r="X541" s="225"/>
    </row>
    <row r="542" spans="1:24" ht="14.25" x14ac:dyDescent="0.2">
      <c r="A542" s="225"/>
      <c r="B542" s="225"/>
      <c r="C542" s="225"/>
      <c r="D542" s="225"/>
      <c r="E542" s="225"/>
      <c r="F542" s="225"/>
      <c r="G542" s="225"/>
      <c r="H542" s="225"/>
      <c r="I542" s="225"/>
      <c r="J542" s="225"/>
      <c r="K542" s="225"/>
      <c r="L542" s="225"/>
      <c r="M542" s="225"/>
      <c r="N542" s="225"/>
      <c r="O542" s="225"/>
      <c r="P542" s="225"/>
      <c r="Q542" s="225"/>
      <c r="R542" s="225"/>
      <c r="S542" s="225"/>
      <c r="T542" s="225"/>
      <c r="U542" s="225"/>
      <c r="V542" s="225"/>
      <c r="W542" s="225"/>
      <c r="X542" s="225"/>
    </row>
    <row r="543" spans="1:24" ht="14.25" x14ac:dyDescent="0.2">
      <c r="A543" s="225"/>
      <c r="B543" s="225"/>
      <c r="C543" s="225"/>
      <c r="D543" s="225"/>
      <c r="E543" s="225"/>
      <c r="F543" s="225"/>
      <c r="G543" s="225"/>
      <c r="H543" s="225"/>
      <c r="I543" s="225"/>
      <c r="J543" s="225"/>
      <c r="K543" s="225"/>
      <c r="L543" s="225"/>
      <c r="M543" s="225"/>
      <c r="N543" s="225"/>
      <c r="O543" s="225"/>
      <c r="P543" s="225"/>
      <c r="Q543" s="225"/>
      <c r="R543" s="225"/>
      <c r="S543" s="225"/>
      <c r="T543" s="225"/>
      <c r="U543" s="225"/>
      <c r="V543" s="225"/>
      <c r="W543" s="225"/>
      <c r="X543" s="225"/>
    </row>
    <row r="544" spans="1:24" ht="14.25" x14ac:dyDescent="0.2">
      <c r="A544" s="225"/>
      <c r="B544" s="225"/>
      <c r="C544" s="225"/>
      <c r="D544" s="225"/>
      <c r="E544" s="225"/>
      <c r="F544" s="225"/>
      <c r="G544" s="225"/>
      <c r="H544" s="225"/>
      <c r="I544" s="225"/>
      <c r="J544" s="225"/>
      <c r="K544" s="225"/>
      <c r="L544" s="225"/>
      <c r="M544" s="225"/>
      <c r="N544" s="225"/>
      <c r="O544" s="225"/>
      <c r="P544" s="225"/>
      <c r="Q544" s="225"/>
      <c r="R544" s="225"/>
      <c r="S544" s="225"/>
      <c r="T544" s="225"/>
      <c r="U544" s="225"/>
      <c r="V544" s="225"/>
      <c r="W544" s="225"/>
      <c r="X544" s="225"/>
    </row>
    <row r="545" spans="1:24" ht="14.25" x14ac:dyDescent="0.2">
      <c r="A545" s="225"/>
      <c r="B545" s="225"/>
      <c r="C545" s="225"/>
      <c r="D545" s="225"/>
      <c r="E545" s="225"/>
      <c r="F545" s="225"/>
      <c r="G545" s="225"/>
      <c r="H545" s="225"/>
      <c r="I545" s="225"/>
      <c r="J545" s="225"/>
      <c r="K545" s="225"/>
      <c r="L545" s="225"/>
      <c r="M545" s="225"/>
      <c r="N545" s="225"/>
      <c r="O545" s="225"/>
      <c r="P545" s="225"/>
      <c r="Q545" s="225"/>
      <c r="R545" s="225"/>
      <c r="S545" s="225"/>
      <c r="T545" s="225"/>
      <c r="U545" s="225"/>
      <c r="V545" s="225"/>
      <c r="W545" s="225"/>
      <c r="X545" s="225"/>
    </row>
    <row r="546" spans="1:24" ht="14.25" x14ac:dyDescent="0.2">
      <c r="A546" s="225"/>
      <c r="B546" s="225"/>
      <c r="C546" s="225"/>
      <c r="D546" s="225"/>
      <c r="E546" s="225"/>
      <c r="F546" s="225"/>
      <c r="G546" s="225"/>
      <c r="H546" s="225"/>
      <c r="I546" s="225"/>
      <c r="J546" s="225"/>
      <c r="K546" s="225"/>
      <c r="L546" s="225"/>
      <c r="M546" s="225"/>
      <c r="N546" s="225"/>
      <c r="O546" s="225"/>
      <c r="P546" s="225"/>
      <c r="Q546" s="225"/>
      <c r="R546" s="225"/>
      <c r="S546" s="225"/>
      <c r="T546" s="225"/>
      <c r="U546" s="225"/>
      <c r="V546" s="225"/>
      <c r="W546" s="225"/>
      <c r="X546" s="225"/>
    </row>
    <row r="547" spans="1:24" ht="14.25" x14ac:dyDescent="0.2">
      <c r="A547" s="225"/>
      <c r="B547" s="225"/>
      <c r="C547" s="225"/>
      <c r="D547" s="225"/>
      <c r="E547" s="225"/>
      <c r="F547" s="225"/>
      <c r="G547" s="225"/>
      <c r="H547" s="225"/>
      <c r="I547" s="225"/>
      <c r="J547" s="225"/>
      <c r="K547" s="225"/>
      <c r="L547" s="225"/>
      <c r="M547" s="225"/>
      <c r="N547" s="225"/>
      <c r="O547" s="225"/>
      <c r="P547" s="225"/>
      <c r="Q547" s="225"/>
      <c r="R547" s="225"/>
      <c r="S547" s="225"/>
      <c r="T547" s="225"/>
      <c r="U547" s="225"/>
      <c r="V547" s="225"/>
      <c r="W547" s="225"/>
      <c r="X547" s="225"/>
    </row>
    <row r="548" spans="1:24" ht="14.25" x14ac:dyDescent="0.2">
      <c r="A548" s="225"/>
      <c r="B548" s="225"/>
      <c r="C548" s="225"/>
      <c r="D548" s="225"/>
      <c r="E548" s="225"/>
      <c r="F548" s="225"/>
      <c r="G548" s="225"/>
      <c r="H548" s="225"/>
      <c r="I548" s="225"/>
      <c r="J548" s="225"/>
      <c r="K548" s="225"/>
      <c r="L548" s="225"/>
      <c r="M548" s="225"/>
      <c r="N548" s="225"/>
      <c r="O548" s="225"/>
      <c r="P548" s="225"/>
      <c r="Q548" s="225"/>
      <c r="R548" s="225"/>
      <c r="S548" s="225"/>
      <c r="T548" s="225"/>
      <c r="U548" s="225"/>
      <c r="V548" s="225"/>
      <c r="W548" s="225"/>
      <c r="X548" s="225"/>
    </row>
    <row r="549" spans="1:24" ht="14.25" x14ac:dyDescent="0.2">
      <c r="A549" s="225"/>
      <c r="B549" s="225"/>
      <c r="C549" s="225"/>
      <c r="D549" s="225"/>
      <c r="E549" s="225"/>
      <c r="F549" s="225"/>
      <c r="G549" s="225"/>
      <c r="H549" s="225"/>
      <c r="I549" s="225"/>
      <c r="J549" s="225"/>
      <c r="K549" s="225"/>
      <c r="L549" s="225"/>
      <c r="M549" s="225"/>
      <c r="N549" s="225"/>
      <c r="O549" s="225"/>
      <c r="P549" s="225"/>
      <c r="Q549" s="225"/>
      <c r="R549" s="225"/>
      <c r="S549" s="225"/>
      <c r="T549" s="225"/>
      <c r="U549" s="225"/>
      <c r="V549" s="225"/>
      <c r="W549" s="225"/>
      <c r="X549" s="225"/>
    </row>
    <row r="550" spans="1:24" ht="14.25" x14ac:dyDescent="0.2">
      <c r="A550" s="225"/>
      <c r="B550" s="225"/>
      <c r="C550" s="225"/>
      <c r="D550" s="225"/>
      <c r="E550" s="225"/>
      <c r="F550" s="225"/>
      <c r="G550" s="225"/>
      <c r="H550" s="225"/>
      <c r="I550" s="225"/>
      <c r="J550" s="225"/>
      <c r="K550" s="225"/>
      <c r="L550" s="225"/>
      <c r="M550" s="225"/>
      <c r="N550" s="225"/>
      <c r="O550" s="225"/>
      <c r="P550" s="225"/>
      <c r="Q550" s="225"/>
      <c r="R550" s="225"/>
      <c r="S550" s="225"/>
      <c r="T550" s="225"/>
      <c r="U550" s="225"/>
      <c r="V550" s="225"/>
      <c r="W550" s="225"/>
      <c r="X550" s="225"/>
    </row>
    <row r="551" spans="1:24" ht="14.25" x14ac:dyDescent="0.2">
      <c r="A551" s="225"/>
      <c r="B551" s="225"/>
      <c r="C551" s="225"/>
      <c r="D551" s="225"/>
      <c r="E551" s="225"/>
      <c r="F551" s="225"/>
      <c r="G551" s="225"/>
      <c r="H551" s="225"/>
      <c r="I551" s="225"/>
      <c r="J551" s="225"/>
      <c r="K551" s="225"/>
      <c r="L551" s="225"/>
      <c r="M551" s="225"/>
      <c r="N551" s="225"/>
      <c r="O551" s="225"/>
      <c r="P551" s="225"/>
      <c r="Q551" s="225"/>
      <c r="R551" s="225"/>
      <c r="S551" s="225"/>
      <c r="T551" s="225"/>
      <c r="U551" s="225"/>
      <c r="V551" s="225"/>
      <c r="W551" s="225"/>
      <c r="X551" s="225"/>
    </row>
    <row r="552" spans="1:24" ht="14.25" x14ac:dyDescent="0.2">
      <c r="A552" s="225"/>
      <c r="B552" s="225"/>
      <c r="C552" s="225"/>
      <c r="D552" s="225"/>
      <c r="E552" s="225"/>
      <c r="F552" s="225"/>
      <c r="G552" s="225"/>
      <c r="H552" s="225"/>
      <c r="I552" s="225"/>
      <c r="J552" s="225"/>
      <c r="K552" s="225"/>
      <c r="L552" s="225"/>
      <c r="M552" s="225"/>
      <c r="N552" s="225"/>
      <c r="O552" s="225"/>
      <c r="P552" s="225"/>
      <c r="Q552" s="225"/>
      <c r="R552" s="225"/>
      <c r="S552" s="225"/>
      <c r="T552" s="225"/>
      <c r="U552" s="225"/>
      <c r="V552" s="225"/>
      <c r="W552" s="225"/>
      <c r="X552" s="225"/>
    </row>
    <row r="553" spans="1:24" ht="14.25" x14ac:dyDescent="0.2">
      <c r="A553" s="225"/>
      <c r="B553" s="225"/>
      <c r="C553" s="225"/>
      <c r="D553" s="225"/>
      <c r="E553" s="225"/>
      <c r="F553" s="225"/>
      <c r="G553" s="225"/>
      <c r="H553" s="225"/>
      <c r="I553" s="225"/>
      <c r="J553" s="225"/>
      <c r="K553" s="225"/>
      <c r="L553" s="225"/>
      <c r="M553" s="225"/>
      <c r="N553" s="225"/>
      <c r="O553" s="225"/>
      <c r="P553" s="225"/>
      <c r="Q553" s="225"/>
      <c r="R553" s="225"/>
      <c r="S553" s="225"/>
      <c r="T553" s="225"/>
      <c r="U553" s="225"/>
      <c r="V553" s="225"/>
      <c r="W553" s="225"/>
      <c r="X553" s="225"/>
    </row>
    <row r="554" spans="1:24" ht="14.25" x14ac:dyDescent="0.2">
      <c r="A554" s="225"/>
      <c r="B554" s="225"/>
      <c r="C554" s="225"/>
      <c r="D554" s="225"/>
      <c r="E554" s="225"/>
      <c r="F554" s="225"/>
      <c r="G554" s="225"/>
      <c r="H554" s="225"/>
      <c r="I554" s="225"/>
      <c r="J554" s="225"/>
      <c r="K554" s="225"/>
      <c r="L554" s="225"/>
      <c r="M554" s="225"/>
      <c r="N554" s="225"/>
      <c r="O554" s="225"/>
      <c r="P554" s="225"/>
      <c r="Q554" s="225"/>
      <c r="R554" s="225"/>
      <c r="S554" s="225"/>
      <c r="T554" s="225"/>
      <c r="U554" s="225"/>
      <c r="V554" s="225"/>
      <c r="W554" s="225"/>
      <c r="X554" s="225"/>
    </row>
    <row r="555" spans="1:24" ht="14.25" x14ac:dyDescent="0.2">
      <c r="A555" s="225"/>
      <c r="B555" s="225"/>
      <c r="C555" s="225"/>
      <c r="D555" s="225"/>
      <c r="E555" s="225"/>
      <c r="F555" s="225"/>
      <c r="G555" s="225"/>
      <c r="H555" s="225"/>
      <c r="I555" s="225"/>
      <c r="J555" s="225"/>
      <c r="K555" s="225"/>
      <c r="L555" s="225"/>
      <c r="M555" s="225"/>
      <c r="N555" s="225"/>
      <c r="O555" s="225"/>
      <c r="P555" s="225"/>
      <c r="Q555" s="225"/>
      <c r="R555" s="225"/>
      <c r="S555" s="225"/>
      <c r="T555" s="225"/>
      <c r="U555" s="225"/>
      <c r="V555" s="225"/>
      <c r="W555" s="225"/>
      <c r="X555" s="225"/>
    </row>
    <row r="556" spans="1:24" ht="14.25" x14ac:dyDescent="0.2">
      <c r="A556" s="225"/>
      <c r="B556" s="225"/>
      <c r="C556" s="225"/>
      <c r="D556" s="225"/>
      <c r="E556" s="225"/>
      <c r="F556" s="225"/>
      <c r="G556" s="225"/>
      <c r="H556" s="225"/>
      <c r="I556" s="225"/>
      <c r="J556" s="225"/>
      <c r="K556" s="225"/>
      <c r="L556" s="225"/>
      <c r="M556" s="225"/>
      <c r="N556" s="225"/>
      <c r="O556" s="225"/>
      <c r="P556" s="225"/>
      <c r="Q556" s="225"/>
      <c r="R556" s="225"/>
      <c r="S556" s="225"/>
      <c r="T556" s="225"/>
      <c r="U556" s="225"/>
      <c r="V556" s="225"/>
      <c r="W556" s="225"/>
      <c r="X556" s="225"/>
    </row>
    <row r="557" spans="1:24" ht="14.25" x14ac:dyDescent="0.2">
      <c r="A557" s="225"/>
      <c r="B557" s="225"/>
      <c r="C557" s="225"/>
      <c r="D557" s="225"/>
      <c r="E557" s="225"/>
      <c r="F557" s="225"/>
      <c r="G557" s="225"/>
      <c r="H557" s="225"/>
      <c r="I557" s="225"/>
      <c r="J557" s="225"/>
      <c r="K557" s="225"/>
      <c r="L557" s="225"/>
      <c r="M557" s="225"/>
      <c r="N557" s="225"/>
      <c r="O557" s="225"/>
      <c r="P557" s="225"/>
      <c r="Q557" s="225"/>
      <c r="R557" s="225"/>
      <c r="S557" s="225"/>
      <c r="T557" s="225"/>
      <c r="U557" s="225"/>
      <c r="V557" s="225"/>
      <c r="W557" s="225"/>
      <c r="X557" s="225"/>
    </row>
    <row r="558" spans="1:24" ht="14.25" x14ac:dyDescent="0.2">
      <c r="A558" s="225"/>
      <c r="B558" s="225"/>
      <c r="C558" s="225"/>
      <c r="D558" s="225"/>
      <c r="E558" s="225"/>
      <c r="F558" s="225"/>
      <c r="G558" s="225"/>
      <c r="H558" s="225"/>
      <c r="I558" s="225"/>
      <c r="J558" s="225"/>
      <c r="K558" s="225"/>
      <c r="L558" s="225"/>
      <c r="M558" s="225"/>
      <c r="N558" s="225"/>
      <c r="O558" s="225"/>
      <c r="P558" s="225"/>
      <c r="Q558" s="225"/>
      <c r="R558" s="225"/>
      <c r="S558" s="225"/>
      <c r="T558" s="225"/>
      <c r="U558" s="225"/>
      <c r="V558" s="225"/>
      <c r="W558" s="225"/>
      <c r="X558" s="225"/>
    </row>
    <row r="559" spans="1:24" ht="14.25" x14ac:dyDescent="0.2">
      <c r="A559" s="225"/>
      <c r="B559" s="225"/>
      <c r="C559" s="225"/>
      <c r="D559" s="225"/>
      <c r="E559" s="225"/>
      <c r="F559" s="225"/>
      <c r="G559" s="225"/>
      <c r="H559" s="225"/>
      <c r="I559" s="225"/>
      <c r="J559" s="225"/>
      <c r="K559" s="225"/>
      <c r="L559" s="225"/>
      <c r="M559" s="225"/>
      <c r="N559" s="225"/>
      <c r="O559" s="225"/>
      <c r="P559" s="225"/>
      <c r="Q559" s="225"/>
      <c r="R559" s="225"/>
      <c r="S559" s="225"/>
      <c r="T559" s="225"/>
      <c r="U559" s="225"/>
      <c r="V559" s="225"/>
      <c r="W559" s="225"/>
      <c r="X559" s="225"/>
    </row>
    <row r="560" spans="1:24" ht="14.25" x14ac:dyDescent="0.2">
      <c r="A560" s="225"/>
      <c r="B560" s="225"/>
      <c r="C560" s="225"/>
      <c r="D560" s="225"/>
      <c r="E560" s="225"/>
      <c r="F560" s="225"/>
      <c r="G560" s="225"/>
      <c r="H560" s="225"/>
      <c r="I560" s="225"/>
      <c r="J560" s="225"/>
      <c r="K560" s="225"/>
      <c r="L560" s="225"/>
      <c r="M560" s="225"/>
      <c r="N560" s="225"/>
      <c r="O560" s="225"/>
      <c r="P560" s="225"/>
      <c r="Q560" s="225"/>
      <c r="R560" s="225"/>
      <c r="S560" s="225"/>
      <c r="T560" s="225"/>
      <c r="U560" s="225"/>
      <c r="V560" s="225"/>
      <c r="W560" s="225"/>
      <c r="X560" s="225"/>
    </row>
    <row r="561" spans="1:24" ht="14.25" x14ac:dyDescent="0.2">
      <c r="A561" s="225"/>
      <c r="B561" s="225"/>
      <c r="C561" s="225"/>
      <c r="D561" s="225"/>
      <c r="E561" s="225"/>
      <c r="F561" s="225"/>
      <c r="G561" s="225"/>
      <c r="H561" s="225"/>
      <c r="I561" s="225"/>
      <c r="J561" s="225"/>
      <c r="K561" s="225"/>
      <c r="L561" s="225"/>
      <c r="M561" s="225"/>
      <c r="N561" s="225"/>
      <c r="O561" s="225"/>
      <c r="P561" s="225"/>
      <c r="Q561" s="225"/>
      <c r="R561" s="225"/>
      <c r="S561" s="225"/>
      <c r="T561" s="225"/>
      <c r="U561" s="225"/>
      <c r="V561" s="225"/>
      <c r="W561" s="225"/>
      <c r="X561" s="225"/>
    </row>
    <row r="562" spans="1:24" ht="14.25" x14ac:dyDescent="0.2">
      <c r="A562" s="225"/>
      <c r="B562" s="225"/>
      <c r="C562" s="225"/>
      <c r="D562" s="225"/>
      <c r="E562" s="225"/>
      <c r="F562" s="225"/>
      <c r="G562" s="225"/>
      <c r="H562" s="225"/>
      <c r="I562" s="225"/>
      <c r="J562" s="225"/>
      <c r="K562" s="225"/>
      <c r="L562" s="225"/>
      <c r="M562" s="225"/>
      <c r="N562" s="225"/>
      <c r="O562" s="225"/>
      <c r="P562" s="225"/>
      <c r="Q562" s="225"/>
      <c r="R562" s="225"/>
      <c r="S562" s="225"/>
      <c r="T562" s="225"/>
      <c r="U562" s="225"/>
      <c r="V562" s="225"/>
      <c r="W562" s="225"/>
      <c r="X562" s="225"/>
    </row>
    <row r="563" spans="1:24" ht="14.25" x14ac:dyDescent="0.2">
      <c r="A563" s="225"/>
      <c r="B563" s="225"/>
      <c r="C563" s="225"/>
      <c r="D563" s="225"/>
      <c r="E563" s="225"/>
      <c r="F563" s="225"/>
      <c r="G563" s="225"/>
      <c r="H563" s="225"/>
      <c r="I563" s="225"/>
      <c r="J563" s="225"/>
      <c r="K563" s="225"/>
      <c r="L563" s="225"/>
      <c r="M563" s="225"/>
      <c r="N563" s="225"/>
      <c r="O563" s="225"/>
      <c r="P563" s="225"/>
      <c r="Q563" s="225"/>
      <c r="R563" s="225"/>
      <c r="S563" s="225"/>
      <c r="T563" s="225"/>
      <c r="U563" s="225"/>
      <c r="V563" s="225"/>
      <c r="W563" s="225"/>
      <c r="X563" s="225"/>
    </row>
    <row r="564" spans="1:24" ht="14.25" x14ac:dyDescent="0.2">
      <c r="A564" s="225"/>
      <c r="B564" s="225"/>
      <c r="C564" s="225"/>
      <c r="D564" s="225"/>
      <c r="E564" s="225"/>
      <c r="F564" s="225"/>
      <c r="G564" s="225"/>
      <c r="H564" s="225"/>
      <c r="I564" s="225"/>
      <c r="J564" s="225"/>
      <c r="K564" s="225"/>
      <c r="L564" s="225"/>
      <c r="M564" s="225"/>
      <c r="N564" s="225"/>
      <c r="O564" s="225"/>
      <c r="P564" s="225"/>
      <c r="Q564" s="225"/>
      <c r="R564" s="225"/>
      <c r="S564" s="225"/>
      <c r="T564" s="225"/>
      <c r="U564" s="225"/>
      <c r="V564" s="225"/>
      <c r="W564" s="225"/>
      <c r="X564" s="225"/>
    </row>
    <row r="565" spans="1:24" ht="14.25" x14ac:dyDescent="0.2">
      <c r="A565" s="225"/>
      <c r="B565" s="225"/>
      <c r="C565" s="225"/>
      <c r="D565" s="225"/>
      <c r="E565" s="225"/>
      <c r="F565" s="225"/>
      <c r="G565" s="225"/>
      <c r="H565" s="225"/>
      <c r="I565" s="225"/>
      <c r="J565" s="225"/>
      <c r="K565" s="225"/>
      <c r="L565" s="225"/>
      <c r="M565" s="225"/>
      <c r="N565" s="225"/>
      <c r="O565" s="225"/>
      <c r="P565" s="225"/>
      <c r="Q565" s="225"/>
      <c r="R565" s="225"/>
      <c r="S565" s="225"/>
      <c r="T565" s="225"/>
      <c r="U565" s="225"/>
      <c r="V565" s="225"/>
      <c r="W565" s="225"/>
      <c r="X565" s="225"/>
    </row>
    <row r="566" spans="1:24" ht="14.25" x14ac:dyDescent="0.2">
      <c r="A566" s="225"/>
      <c r="B566" s="225"/>
      <c r="C566" s="225"/>
      <c r="D566" s="225"/>
      <c r="E566" s="225"/>
      <c r="F566" s="225"/>
      <c r="G566" s="225"/>
      <c r="H566" s="225"/>
      <c r="I566" s="225"/>
      <c r="J566" s="225"/>
      <c r="K566" s="225"/>
      <c r="L566" s="225"/>
      <c r="M566" s="225"/>
      <c r="N566" s="225"/>
      <c r="O566" s="225"/>
      <c r="P566" s="225"/>
      <c r="Q566" s="225"/>
      <c r="R566" s="225"/>
      <c r="S566" s="225"/>
      <c r="T566" s="225"/>
      <c r="U566" s="225"/>
      <c r="V566" s="225"/>
      <c r="W566" s="225"/>
      <c r="X566" s="225"/>
    </row>
    <row r="567" spans="1:24" ht="14.25" x14ac:dyDescent="0.2">
      <c r="A567" s="225"/>
      <c r="B567" s="225"/>
      <c r="C567" s="225"/>
      <c r="D567" s="225"/>
      <c r="E567" s="225"/>
      <c r="F567" s="225"/>
      <c r="G567" s="225"/>
      <c r="H567" s="225"/>
      <c r="I567" s="225"/>
      <c r="J567" s="225"/>
      <c r="K567" s="225"/>
      <c r="L567" s="225"/>
      <c r="M567" s="225"/>
      <c r="N567" s="225"/>
      <c r="O567" s="225"/>
      <c r="P567" s="225"/>
      <c r="Q567" s="225"/>
      <c r="R567" s="225"/>
      <c r="S567" s="225"/>
      <c r="T567" s="225"/>
      <c r="U567" s="225"/>
      <c r="V567" s="225"/>
      <c r="W567" s="225"/>
      <c r="X567" s="225"/>
    </row>
    <row r="568" spans="1:24" ht="14.25" x14ac:dyDescent="0.2">
      <c r="A568" s="225"/>
      <c r="B568" s="225"/>
      <c r="C568" s="225"/>
      <c r="D568" s="225"/>
      <c r="E568" s="225"/>
      <c r="F568" s="225"/>
      <c r="G568" s="225"/>
      <c r="H568" s="225"/>
      <c r="I568" s="225"/>
      <c r="J568" s="225"/>
      <c r="K568" s="225"/>
      <c r="L568" s="225"/>
      <c r="M568" s="225"/>
      <c r="N568" s="225"/>
      <c r="O568" s="225"/>
      <c r="P568" s="225"/>
      <c r="Q568" s="225"/>
      <c r="R568" s="225"/>
      <c r="S568" s="225"/>
      <c r="T568" s="225"/>
      <c r="U568" s="225"/>
      <c r="V568" s="225"/>
      <c r="W568" s="225"/>
      <c r="X568" s="225"/>
    </row>
    <row r="569" spans="1:24" ht="14.25" x14ac:dyDescent="0.2">
      <c r="A569" s="225"/>
      <c r="B569" s="225"/>
      <c r="C569" s="225"/>
      <c r="D569" s="225"/>
      <c r="E569" s="225"/>
      <c r="F569" s="225"/>
      <c r="G569" s="225"/>
      <c r="H569" s="225"/>
      <c r="I569" s="225"/>
      <c r="J569" s="225"/>
      <c r="K569" s="225"/>
      <c r="L569" s="225"/>
      <c r="M569" s="225"/>
      <c r="N569" s="225"/>
      <c r="O569" s="225"/>
      <c r="P569" s="225"/>
      <c r="Q569" s="225"/>
      <c r="R569" s="225"/>
      <c r="S569" s="225"/>
      <c r="T569" s="225"/>
      <c r="U569" s="225"/>
      <c r="V569" s="225"/>
      <c r="W569" s="225"/>
      <c r="X569" s="225"/>
    </row>
    <row r="570" spans="1:24" ht="14.25" x14ac:dyDescent="0.2">
      <c r="A570" s="225"/>
      <c r="B570" s="225"/>
      <c r="C570" s="225"/>
      <c r="D570" s="225"/>
      <c r="E570" s="225"/>
      <c r="F570" s="225"/>
      <c r="G570" s="225"/>
      <c r="H570" s="225"/>
      <c r="I570" s="225"/>
      <c r="J570" s="225"/>
      <c r="K570" s="225"/>
      <c r="L570" s="225"/>
      <c r="M570" s="225"/>
      <c r="N570" s="225"/>
      <c r="O570" s="225"/>
      <c r="P570" s="225"/>
      <c r="Q570" s="225"/>
      <c r="R570" s="225"/>
      <c r="S570" s="225"/>
      <c r="T570" s="225"/>
      <c r="U570" s="225"/>
      <c r="V570" s="225"/>
      <c r="W570" s="225"/>
      <c r="X570" s="225"/>
    </row>
    <row r="571" spans="1:24" ht="14.25" x14ac:dyDescent="0.2">
      <c r="A571" s="225"/>
      <c r="B571" s="225"/>
      <c r="C571" s="225"/>
      <c r="D571" s="225"/>
      <c r="E571" s="225"/>
      <c r="F571" s="225"/>
      <c r="G571" s="225"/>
      <c r="H571" s="225"/>
      <c r="I571" s="225"/>
      <c r="J571" s="225"/>
      <c r="K571" s="225"/>
      <c r="L571" s="225"/>
      <c r="M571" s="225"/>
      <c r="N571" s="225"/>
      <c r="O571" s="225"/>
      <c r="P571" s="225"/>
      <c r="Q571" s="225"/>
      <c r="R571" s="225"/>
      <c r="S571" s="225"/>
      <c r="T571" s="225"/>
      <c r="U571" s="225"/>
      <c r="V571" s="225"/>
      <c r="W571" s="225"/>
      <c r="X571" s="225"/>
    </row>
    <row r="572" spans="1:24" ht="14.25" x14ac:dyDescent="0.2">
      <c r="A572" s="225"/>
      <c r="B572" s="225"/>
      <c r="C572" s="225"/>
      <c r="D572" s="225"/>
      <c r="E572" s="225"/>
      <c r="F572" s="225"/>
      <c r="G572" s="225"/>
      <c r="H572" s="225"/>
      <c r="I572" s="225"/>
      <c r="J572" s="225"/>
      <c r="K572" s="225"/>
      <c r="L572" s="225"/>
      <c r="M572" s="225"/>
      <c r="N572" s="225"/>
      <c r="O572" s="225"/>
      <c r="P572" s="225"/>
      <c r="Q572" s="225"/>
      <c r="R572" s="225"/>
      <c r="S572" s="225"/>
      <c r="T572" s="225"/>
      <c r="U572" s="225"/>
      <c r="V572" s="225"/>
      <c r="W572" s="225"/>
      <c r="X572" s="225"/>
    </row>
    <row r="573" spans="1:24" ht="14.25" x14ac:dyDescent="0.2">
      <c r="A573" s="225"/>
      <c r="B573" s="225"/>
      <c r="C573" s="225"/>
      <c r="D573" s="225"/>
      <c r="E573" s="225"/>
      <c r="F573" s="225"/>
      <c r="G573" s="225"/>
      <c r="H573" s="225"/>
      <c r="I573" s="225"/>
      <c r="J573" s="225"/>
      <c r="K573" s="225"/>
      <c r="L573" s="225"/>
      <c r="M573" s="225"/>
      <c r="N573" s="225"/>
      <c r="O573" s="225"/>
      <c r="P573" s="225"/>
      <c r="Q573" s="225"/>
      <c r="R573" s="225"/>
      <c r="S573" s="225"/>
      <c r="T573" s="225"/>
      <c r="U573" s="225"/>
      <c r="V573" s="225"/>
      <c r="W573" s="225"/>
      <c r="X573" s="225"/>
    </row>
    <row r="574" spans="1:24" ht="14.25" x14ac:dyDescent="0.2">
      <c r="A574" s="225"/>
      <c r="B574" s="225"/>
      <c r="C574" s="225"/>
      <c r="D574" s="225"/>
      <c r="E574" s="225"/>
      <c r="F574" s="225"/>
      <c r="G574" s="225"/>
      <c r="H574" s="225"/>
      <c r="I574" s="225"/>
      <c r="J574" s="225"/>
      <c r="K574" s="225"/>
      <c r="L574" s="225"/>
      <c r="M574" s="225"/>
      <c r="N574" s="225"/>
      <c r="O574" s="225"/>
      <c r="P574" s="225"/>
      <c r="Q574" s="225"/>
      <c r="R574" s="225"/>
      <c r="S574" s="225"/>
      <c r="T574" s="225"/>
      <c r="U574" s="225"/>
      <c r="V574" s="225"/>
      <c r="W574" s="225"/>
      <c r="X574" s="225"/>
    </row>
    <row r="575" spans="1:24" ht="14.25" x14ac:dyDescent="0.2">
      <c r="A575" s="225"/>
      <c r="B575" s="225"/>
      <c r="C575" s="225"/>
      <c r="D575" s="225"/>
      <c r="E575" s="225"/>
      <c r="F575" s="225"/>
      <c r="G575" s="225"/>
      <c r="H575" s="225"/>
      <c r="I575" s="225"/>
      <c r="J575" s="225"/>
      <c r="K575" s="225"/>
      <c r="L575" s="225"/>
      <c r="M575" s="225"/>
      <c r="N575" s="225"/>
      <c r="O575" s="225"/>
      <c r="P575" s="225"/>
      <c r="Q575" s="225"/>
      <c r="R575" s="225"/>
      <c r="S575" s="225"/>
      <c r="T575" s="225"/>
      <c r="U575" s="225"/>
      <c r="V575" s="225"/>
      <c r="W575" s="225"/>
      <c r="X575" s="225"/>
    </row>
    <row r="576" spans="1:24" ht="14.25" x14ac:dyDescent="0.2">
      <c r="A576" s="225"/>
      <c r="B576" s="225"/>
      <c r="C576" s="225"/>
      <c r="D576" s="225"/>
      <c r="E576" s="225"/>
      <c r="F576" s="225"/>
      <c r="G576" s="225"/>
      <c r="H576" s="225"/>
      <c r="I576" s="225"/>
      <c r="J576" s="225"/>
      <c r="K576" s="225"/>
      <c r="L576" s="225"/>
      <c r="M576" s="225"/>
      <c r="N576" s="225"/>
      <c r="O576" s="225"/>
      <c r="P576" s="225"/>
      <c r="Q576" s="225"/>
      <c r="R576" s="225"/>
      <c r="S576" s="225"/>
      <c r="T576" s="225"/>
      <c r="U576" s="225"/>
      <c r="V576" s="225"/>
      <c r="W576" s="225"/>
      <c r="X576" s="225"/>
    </row>
    <row r="577" spans="1:24" ht="14.25" x14ac:dyDescent="0.2">
      <c r="A577" s="225"/>
      <c r="B577" s="225"/>
      <c r="C577" s="225"/>
      <c r="D577" s="225"/>
      <c r="E577" s="225"/>
      <c r="F577" s="225"/>
      <c r="G577" s="225"/>
      <c r="H577" s="225"/>
      <c r="I577" s="225"/>
      <c r="J577" s="225"/>
      <c r="K577" s="225"/>
      <c r="L577" s="225"/>
      <c r="M577" s="225"/>
      <c r="N577" s="225"/>
      <c r="O577" s="225"/>
      <c r="P577" s="225"/>
      <c r="Q577" s="225"/>
      <c r="R577" s="225"/>
      <c r="S577" s="225"/>
      <c r="T577" s="225"/>
      <c r="U577" s="225"/>
      <c r="V577" s="225"/>
      <c r="W577" s="225"/>
      <c r="X577" s="225"/>
    </row>
    <row r="578" spans="1:24" ht="14.25" x14ac:dyDescent="0.2">
      <c r="A578" s="225"/>
      <c r="B578" s="225"/>
      <c r="C578" s="225"/>
      <c r="D578" s="225"/>
      <c r="E578" s="225"/>
      <c r="F578" s="225"/>
      <c r="G578" s="225"/>
      <c r="H578" s="225"/>
      <c r="I578" s="225"/>
      <c r="J578" s="225"/>
      <c r="K578" s="225"/>
      <c r="L578" s="225"/>
      <c r="M578" s="225"/>
      <c r="N578" s="225"/>
      <c r="O578" s="225"/>
      <c r="P578" s="225"/>
      <c r="Q578" s="225"/>
      <c r="R578" s="225"/>
      <c r="S578" s="225"/>
      <c r="T578" s="225"/>
      <c r="U578" s="225"/>
      <c r="V578" s="225"/>
      <c r="W578" s="225"/>
      <c r="X578" s="225"/>
    </row>
    <row r="579" spans="1:24" ht="14.25" x14ac:dyDescent="0.2">
      <c r="A579" s="225"/>
      <c r="B579" s="225"/>
      <c r="C579" s="225"/>
      <c r="D579" s="225"/>
      <c r="E579" s="225"/>
      <c r="F579" s="225"/>
      <c r="G579" s="225"/>
      <c r="H579" s="225"/>
      <c r="I579" s="225"/>
      <c r="J579" s="225"/>
      <c r="K579" s="225"/>
      <c r="L579" s="225"/>
      <c r="M579" s="225"/>
      <c r="N579" s="225"/>
      <c r="O579" s="225"/>
      <c r="P579" s="225"/>
      <c r="Q579" s="225"/>
      <c r="R579" s="225"/>
      <c r="S579" s="225"/>
      <c r="T579" s="225"/>
      <c r="U579" s="225"/>
      <c r="V579" s="225"/>
      <c r="W579" s="225"/>
      <c r="X579" s="225"/>
    </row>
    <row r="580" spans="1:24" ht="14.25" x14ac:dyDescent="0.2">
      <c r="A580" s="225"/>
      <c r="B580" s="225"/>
      <c r="C580" s="225"/>
      <c r="D580" s="225"/>
      <c r="E580" s="225"/>
      <c r="F580" s="225"/>
      <c r="G580" s="225"/>
      <c r="H580" s="225"/>
      <c r="I580" s="225"/>
      <c r="J580" s="225"/>
      <c r="K580" s="225"/>
      <c r="L580" s="225"/>
      <c r="M580" s="225"/>
      <c r="N580" s="225"/>
      <c r="O580" s="225"/>
      <c r="P580" s="225"/>
      <c r="Q580" s="225"/>
      <c r="R580" s="225"/>
      <c r="S580" s="225"/>
      <c r="T580" s="225"/>
      <c r="U580" s="225"/>
      <c r="V580" s="225"/>
      <c r="W580" s="225"/>
      <c r="X580" s="225"/>
    </row>
    <row r="581" spans="1:24" ht="14.25" x14ac:dyDescent="0.2">
      <c r="A581" s="225"/>
      <c r="B581" s="225"/>
      <c r="C581" s="225"/>
      <c r="D581" s="225"/>
      <c r="E581" s="225"/>
      <c r="F581" s="225"/>
      <c r="G581" s="225"/>
      <c r="H581" s="225"/>
      <c r="I581" s="225"/>
      <c r="J581" s="225"/>
      <c r="K581" s="225"/>
      <c r="L581" s="225"/>
      <c r="M581" s="225"/>
      <c r="N581" s="225"/>
      <c r="O581" s="225"/>
      <c r="P581" s="225"/>
      <c r="Q581" s="225"/>
      <c r="R581" s="225"/>
      <c r="S581" s="225"/>
      <c r="T581" s="225"/>
      <c r="U581" s="225"/>
      <c r="V581" s="225"/>
      <c r="W581" s="225"/>
      <c r="X581" s="225"/>
    </row>
    <row r="582" spans="1:24" ht="14.25" x14ac:dyDescent="0.2">
      <c r="A582" s="225"/>
      <c r="B582" s="225"/>
      <c r="C582" s="225"/>
      <c r="D582" s="225"/>
      <c r="E582" s="225"/>
      <c r="F582" s="225"/>
      <c r="G582" s="225"/>
      <c r="H582" s="225"/>
      <c r="I582" s="225"/>
      <c r="J582" s="225"/>
      <c r="K582" s="225"/>
      <c r="L582" s="225"/>
      <c r="M582" s="225"/>
      <c r="N582" s="225"/>
      <c r="O582" s="225"/>
      <c r="P582" s="225"/>
      <c r="Q582" s="225"/>
      <c r="R582" s="225"/>
      <c r="S582" s="225"/>
      <c r="T582" s="225"/>
      <c r="U582" s="225"/>
      <c r="V582" s="225"/>
      <c r="W582" s="225"/>
      <c r="X582" s="225"/>
    </row>
    <row r="583" spans="1:24" ht="14.25" x14ac:dyDescent="0.2">
      <c r="A583" s="225"/>
      <c r="B583" s="225"/>
      <c r="C583" s="225"/>
      <c r="D583" s="225"/>
      <c r="E583" s="225"/>
      <c r="F583" s="225"/>
      <c r="G583" s="225"/>
      <c r="H583" s="225"/>
      <c r="I583" s="225"/>
      <c r="J583" s="225"/>
      <c r="K583" s="225"/>
      <c r="L583" s="225"/>
      <c r="M583" s="225"/>
      <c r="N583" s="225"/>
      <c r="O583" s="225"/>
      <c r="P583" s="225"/>
      <c r="Q583" s="225"/>
      <c r="R583" s="225"/>
      <c r="S583" s="225"/>
      <c r="T583" s="225"/>
      <c r="U583" s="225"/>
      <c r="V583" s="225"/>
      <c r="W583" s="225"/>
      <c r="X583" s="225"/>
    </row>
    <row r="584" spans="1:24" ht="14.25" x14ac:dyDescent="0.2">
      <c r="A584" s="225"/>
      <c r="B584" s="225"/>
      <c r="C584" s="225"/>
      <c r="D584" s="225"/>
      <c r="E584" s="225"/>
      <c r="F584" s="225"/>
      <c r="G584" s="225"/>
      <c r="H584" s="225"/>
      <c r="I584" s="225"/>
      <c r="J584" s="225"/>
      <c r="K584" s="225"/>
      <c r="L584" s="225"/>
      <c r="M584" s="225"/>
      <c r="N584" s="225"/>
      <c r="O584" s="225"/>
      <c r="P584" s="225"/>
      <c r="Q584" s="225"/>
      <c r="R584" s="225"/>
      <c r="S584" s="225"/>
      <c r="T584" s="225"/>
      <c r="U584" s="225"/>
      <c r="V584" s="225"/>
      <c r="W584" s="225"/>
      <c r="X584" s="225"/>
    </row>
    <row r="585" spans="1:24" ht="14.25" x14ac:dyDescent="0.2">
      <c r="A585" s="225"/>
      <c r="B585" s="225"/>
      <c r="C585" s="225"/>
      <c r="D585" s="225"/>
      <c r="E585" s="225"/>
      <c r="F585" s="225"/>
      <c r="G585" s="225"/>
      <c r="H585" s="225"/>
      <c r="I585" s="225"/>
      <c r="J585" s="225"/>
      <c r="K585" s="225"/>
      <c r="L585" s="225"/>
      <c r="M585" s="225"/>
      <c r="N585" s="225"/>
      <c r="O585" s="225"/>
      <c r="P585" s="225"/>
      <c r="Q585" s="225"/>
      <c r="R585" s="225"/>
      <c r="S585" s="225"/>
      <c r="T585" s="225"/>
      <c r="U585" s="225"/>
      <c r="V585" s="225"/>
      <c r="W585" s="225"/>
      <c r="X585" s="225"/>
    </row>
    <row r="586" spans="1:24" ht="14.25" x14ac:dyDescent="0.2">
      <c r="A586" s="225"/>
      <c r="B586" s="225"/>
      <c r="C586" s="225"/>
      <c r="D586" s="225"/>
      <c r="E586" s="225"/>
      <c r="F586" s="225"/>
      <c r="G586" s="225"/>
      <c r="H586" s="225"/>
      <c r="I586" s="225"/>
      <c r="J586" s="225"/>
      <c r="K586" s="225"/>
      <c r="L586" s="225"/>
      <c r="M586" s="225"/>
      <c r="N586" s="225"/>
      <c r="O586" s="225"/>
      <c r="P586" s="225"/>
      <c r="Q586" s="225"/>
      <c r="R586" s="225"/>
      <c r="S586" s="225"/>
      <c r="T586" s="225"/>
      <c r="U586" s="225"/>
      <c r="V586" s="225"/>
      <c r="W586" s="225"/>
      <c r="X586" s="225"/>
    </row>
    <row r="587" spans="1:24" ht="14.25" x14ac:dyDescent="0.2">
      <c r="A587" s="225"/>
      <c r="B587" s="225"/>
      <c r="C587" s="225"/>
      <c r="D587" s="225"/>
      <c r="E587" s="225"/>
      <c r="F587" s="225"/>
      <c r="G587" s="225"/>
      <c r="H587" s="225"/>
      <c r="I587" s="225"/>
      <c r="J587" s="225"/>
      <c r="K587" s="225"/>
      <c r="L587" s="225"/>
      <c r="M587" s="225"/>
      <c r="N587" s="225"/>
      <c r="O587" s="225"/>
      <c r="P587" s="225"/>
      <c r="Q587" s="225"/>
      <c r="R587" s="225"/>
      <c r="S587" s="225"/>
      <c r="T587" s="225"/>
      <c r="U587" s="225"/>
      <c r="V587" s="225"/>
      <c r="W587" s="225"/>
      <c r="X587" s="225"/>
    </row>
    <row r="588" spans="1:24" ht="14.25" x14ac:dyDescent="0.2">
      <c r="A588" s="225"/>
      <c r="B588" s="225"/>
      <c r="C588" s="225"/>
      <c r="D588" s="225"/>
      <c r="E588" s="225"/>
      <c r="F588" s="225"/>
      <c r="G588" s="225"/>
      <c r="H588" s="225"/>
      <c r="I588" s="225"/>
      <c r="J588" s="225"/>
      <c r="K588" s="225"/>
      <c r="L588" s="225"/>
      <c r="M588" s="225"/>
      <c r="N588" s="225"/>
      <c r="O588" s="225"/>
      <c r="P588" s="225"/>
      <c r="Q588" s="225"/>
      <c r="R588" s="225"/>
      <c r="S588" s="225"/>
      <c r="T588" s="225"/>
      <c r="U588" s="225"/>
      <c r="V588" s="225"/>
      <c r="W588" s="225"/>
      <c r="X588" s="225"/>
    </row>
    <row r="589" spans="1:24" ht="14.25" x14ac:dyDescent="0.2">
      <c r="A589" s="225"/>
      <c r="B589" s="225"/>
      <c r="C589" s="225"/>
      <c r="D589" s="225"/>
      <c r="E589" s="225"/>
      <c r="F589" s="225"/>
      <c r="G589" s="225"/>
      <c r="H589" s="225"/>
      <c r="I589" s="225"/>
      <c r="J589" s="225"/>
      <c r="K589" s="225"/>
      <c r="L589" s="225"/>
      <c r="M589" s="225"/>
      <c r="N589" s="225"/>
      <c r="O589" s="225"/>
      <c r="P589" s="225"/>
      <c r="Q589" s="225"/>
      <c r="R589" s="225"/>
      <c r="S589" s="225"/>
      <c r="T589" s="225"/>
      <c r="U589" s="225"/>
      <c r="V589" s="225"/>
      <c r="W589" s="225"/>
      <c r="X589" s="225"/>
    </row>
    <row r="590" spans="1:24" ht="14.25" x14ac:dyDescent="0.2">
      <c r="A590" s="225"/>
      <c r="B590" s="225"/>
      <c r="C590" s="225"/>
      <c r="D590" s="225"/>
      <c r="E590" s="225"/>
      <c r="F590" s="225"/>
      <c r="G590" s="225"/>
      <c r="H590" s="225"/>
      <c r="I590" s="225"/>
      <c r="J590" s="225"/>
      <c r="K590" s="225"/>
      <c r="L590" s="225"/>
      <c r="M590" s="225"/>
      <c r="N590" s="225"/>
      <c r="O590" s="225"/>
      <c r="P590" s="225"/>
      <c r="Q590" s="225"/>
      <c r="R590" s="225"/>
      <c r="S590" s="225"/>
      <c r="T590" s="225"/>
      <c r="U590" s="225"/>
      <c r="V590" s="225"/>
      <c r="W590" s="225"/>
      <c r="X590" s="225"/>
    </row>
    <row r="591" spans="1:24" ht="14.25" x14ac:dyDescent="0.2">
      <c r="A591" s="225"/>
      <c r="B591" s="225"/>
      <c r="C591" s="225"/>
      <c r="D591" s="225"/>
      <c r="E591" s="225"/>
      <c r="F591" s="225"/>
      <c r="G591" s="225"/>
      <c r="H591" s="225"/>
      <c r="I591" s="225"/>
      <c r="J591" s="225"/>
      <c r="K591" s="225"/>
      <c r="L591" s="225"/>
      <c r="M591" s="225"/>
      <c r="N591" s="225"/>
      <c r="O591" s="225"/>
      <c r="P591" s="225"/>
      <c r="Q591" s="225"/>
      <c r="R591" s="225"/>
      <c r="S591" s="225"/>
      <c r="T591" s="225"/>
      <c r="U591" s="225"/>
      <c r="V591" s="225"/>
      <c r="W591" s="225"/>
      <c r="X591" s="225"/>
    </row>
    <row r="592" spans="1:24" ht="14.25" x14ac:dyDescent="0.2">
      <c r="A592" s="225"/>
      <c r="B592" s="225"/>
      <c r="C592" s="225"/>
      <c r="D592" s="225"/>
      <c r="E592" s="225"/>
      <c r="F592" s="225"/>
      <c r="G592" s="225"/>
      <c r="H592" s="225"/>
      <c r="I592" s="225"/>
      <c r="J592" s="225"/>
      <c r="K592" s="225"/>
      <c r="L592" s="225"/>
      <c r="M592" s="225"/>
      <c r="N592" s="225"/>
      <c r="O592" s="225"/>
      <c r="P592" s="225"/>
      <c r="Q592" s="225"/>
      <c r="R592" s="225"/>
      <c r="S592" s="225"/>
      <c r="T592" s="225"/>
      <c r="U592" s="225"/>
      <c r="V592" s="225"/>
      <c r="W592" s="225"/>
      <c r="X592" s="225"/>
    </row>
    <row r="593" spans="1:24" ht="14.25" x14ac:dyDescent="0.2">
      <c r="A593" s="225"/>
      <c r="B593" s="225"/>
      <c r="C593" s="225"/>
      <c r="D593" s="225"/>
      <c r="E593" s="225"/>
      <c r="F593" s="225"/>
      <c r="G593" s="225"/>
      <c r="H593" s="225"/>
      <c r="I593" s="225"/>
      <c r="J593" s="225"/>
      <c r="K593" s="225"/>
      <c r="L593" s="225"/>
      <c r="M593" s="225"/>
      <c r="N593" s="225"/>
      <c r="O593" s="225"/>
      <c r="P593" s="225"/>
      <c r="Q593" s="225"/>
      <c r="R593" s="225"/>
      <c r="S593" s="225"/>
      <c r="T593" s="225"/>
      <c r="U593" s="225"/>
      <c r="V593" s="225"/>
      <c r="W593" s="225"/>
      <c r="X593" s="225"/>
    </row>
    <row r="594" spans="1:24" ht="14.25" x14ac:dyDescent="0.2">
      <c r="A594" s="225"/>
      <c r="B594" s="225"/>
      <c r="C594" s="225"/>
      <c r="D594" s="225"/>
      <c r="E594" s="225"/>
      <c r="F594" s="225"/>
      <c r="G594" s="225"/>
      <c r="H594" s="225"/>
      <c r="I594" s="225"/>
      <c r="J594" s="225"/>
      <c r="K594" s="225"/>
      <c r="L594" s="225"/>
      <c r="M594" s="225"/>
      <c r="N594" s="225"/>
      <c r="O594" s="225"/>
      <c r="P594" s="225"/>
      <c r="Q594" s="225"/>
      <c r="R594" s="225"/>
      <c r="S594" s="225"/>
      <c r="T594" s="225"/>
      <c r="U594" s="225"/>
      <c r="V594" s="225"/>
      <c r="W594" s="225"/>
      <c r="X594" s="225"/>
    </row>
    <row r="595" spans="1:24" ht="14.25" x14ac:dyDescent="0.2">
      <c r="A595" s="225"/>
      <c r="B595" s="225"/>
      <c r="C595" s="225"/>
      <c r="D595" s="225"/>
      <c r="E595" s="225"/>
      <c r="F595" s="225"/>
      <c r="G595" s="225"/>
      <c r="H595" s="225"/>
      <c r="I595" s="225"/>
      <c r="J595" s="225"/>
      <c r="K595" s="225"/>
      <c r="L595" s="225"/>
      <c r="M595" s="225"/>
      <c r="N595" s="225"/>
      <c r="O595" s="225"/>
      <c r="P595" s="225"/>
      <c r="Q595" s="225"/>
      <c r="R595" s="225"/>
      <c r="S595" s="225"/>
      <c r="T595" s="225"/>
      <c r="U595" s="225"/>
      <c r="V595" s="225"/>
      <c r="W595" s="225"/>
      <c r="X595" s="225"/>
    </row>
    <row r="596" spans="1:24" ht="14.25" x14ac:dyDescent="0.2">
      <c r="A596" s="225"/>
      <c r="B596" s="225"/>
      <c r="C596" s="225"/>
      <c r="D596" s="225"/>
      <c r="E596" s="225"/>
      <c r="F596" s="225"/>
      <c r="G596" s="225"/>
      <c r="H596" s="225"/>
      <c r="I596" s="225"/>
      <c r="J596" s="225"/>
      <c r="K596" s="225"/>
      <c r="L596" s="225"/>
      <c r="M596" s="225"/>
      <c r="N596" s="225"/>
      <c r="O596" s="225"/>
      <c r="P596" s="225"/>
      <c r="Q596" s="225"/>
      <c r="R596" s="225"/>
      <c r="S596" s="225"/>
      <c r="T596" s="225"/>
      <c r="U596" s="225"/>
      <c r="V596" s="225"/>
      <c r="W596" s="225"/>
      <c r="X596" s="225"/>
    </row>
    <row r="597" spans="1:24" ht="14.25" x14ac:dyDescent="0.2">
      <c r="A597" s="225"/>
      <c r="B597" s="225"/>
      <c r="C597" s="225"/>
      <c r="D597" s="225"/>
      <c r="E597" s="225"/>
      <c r="F597" s="225"/>
      <c r="G597" s="225"/>
      <c r="H597" s="225"/>
      <c r="I597" s="225"/>
      <c r="J597" s="225"/>
      <c r="K597" s="225"/>
      <c r="L597" s="225"/>
      <c r="M597" s="225"/>
      <c r="N597" s="225"/>
      <c r="O597" s="225"/>
      <c r="P597" s="225"/>
      <c r="Q597" s="225"/>
      <c r="R597" s="225"/>
      <c r="S597" s="225"/>
      <c r="T597" s="225"/>
      <c r="U597" s="225"/>
      <c r="V597" s="225"/>
      <c r="W597" s="225"/>
      <c r="X597" s="225"/>
    </row>
    <row r="598" spans="1:24" ht="14.25" x14ac:dyDescent="0.2">
      <c r="A598" s="225"/>
      <c r="B598" s="225"/>
      <c r="C598" s="225"/>
      <c r="D598" s="225"/>
      <c r="E598" s="225"/>
      <c r="F598" s="225"/>
      <c r="G598" s="225"/>
      <c r="H598" s="225"/>
      <c r="I598" s="225"/>
      <c r="J598" s="225"/>
      <c r="K598" s="225"/>
      <c r="L598" s="225"/>
      <c r="M598" s="225"/>
      <c r="N598" s="225"/>
      <c r="O598" s="225"/>
      <c r="P598" s="225"/>
      <c r="Q598" s="225"/>
      <c r="R598" s="225"/>
      <c r="S598" s="225"/>
      <c r="T598" s="225"/>
      <c r="U598" s="225"/>
      <c r="V598" s="225"/>
      <c r="W598" s="225"/>
      <c r="X598" s="225"/>
    </row>
    <row r="599" spans="1:24" ht="14.25" x14ac:dyDescent="0.2">
      <c r="A599" s="225"/>
      <c r="B599" s="225"/>
      <c r="C599" s="225"/>
      <c r="D599" s="225"/>
      <c r="E599" s="225"/>
      <c r="F599" s="225"/>
      <c r="G599" s="225"/>
      <c r="H599" s="225"/>
      <c r="I599" s="225"/>
      <c r="J599" s="225"/>
      <c r="K599" s="225"/>
      <c r="L599" s="225"/>
      <c r="M599" s="225"/>
      <c r="N599" s="225"/>
      <c r="O599" s="225"/>
      <c r="P599" s="225"/>
      <c r="Q599" s="225"/>
      <c r="R599" s="225"/>
      <c r="S599" s="225"/>
      <c r="T599" s="225"/>
      <c r="U599" s="225"/>
      <c r="V599" s="225"/>
      <c r="W599" s="225"/>
      <c r="X599" s="225"/>
    </row>
    <row r="600" spans="1:24" ht="14.25" x14ac:dyDescent="0.2">
      <c r="A600" s="225"/>
      <c r="B600" s="225"/>
      <c r="C600" s="225"/>
      <c r="D600" s="225"/>
      <c r="E600" s="225"/>
      <c r="F600" s="225"/>
      <c r="G600" s="225"/>
      <c r="H600" s="225"/>
      <c r="I600" s="225"/>
      <c r="J600" s="225"/>
      <c r="K600" s="225"/>
      <c r="L600" s="225"/>
      <c r="M600" s="225"/>
      <c r="N600" s="225"/>
      <c r="O600" s="225"/>
      <c r="P600" s="225"/>
      <c r="Q600" s="225"/>
      <c r="R600" s="225"/>
      <c r="S600" s="225"/>
      <c r="T600" s="225"/>
      <c r="U600" s="225"/>
      <c r="V600" s="225"/>
      <c r="W600" s="225"/>
      <c r="X600" s="225"/>
    </row>
    <row r="601" spans="1:24" ht="14.25" x14ac:dyDescent="0.2">
      <c r="A601" s="225"/>
      <c r="B601" s="225"/>
      <c r="C601" s="225"/>
      <c r="D601" s="225"/>
      <c r="E601" s="225"/>
      <c r="F601" s="225"/>
      <c r="G601" s="225"/>
      <c r="H601" s="225"/>
      <c r="I601" s="225"/>
      <c r="J601" s="225"/>
      <c r="K601" s="225"/>
      <c r="L601" s="225"/>
      <c r="M601" s="225"/>
      <c r="N601" s="225"/>
      <c r="O601" s="225"/>
      <c r="P601" s="225"/>
      <c r="Q601" s="225"/>
      <c r="R601" s="225"/>
      <c r="S601" s="225"/>
      <c r="T601" s="225"/>
      <c r="U601" s="225"/>
      <c r="V601" s="225"/>
      <c r="W601" s="225"/>
      <c r="X601" s="225"/>
    </row>
    <row r="602" spans="1:24" ht="14.25" x14ac:dyDescent="0.2">
      <c r="A602" s="225"/>
      <c r="B602" s="225"/>
      <c r="C602" s="225"/>
      <c r="D602" s="225"/>
      <c r="E602" s="225"/>
      <c r="F602" s="225"/>
      <c r="G602" s="225"/>
      <c r="H602" s="225"/>
      <c r="I602" s="225"/>
      <c r="J602" s="225"/>
      <c r="K602" s="225"/>
      <c r="L602" s="225"/>
      <c r="M602" s="225"/>
      <c r="N602" s="225"/>
      <c r="O602" s="225"/>
      <c r="P602" s="225"/>
      <c r="Q602" s="225"/>
      <c r="R602" s="225"/>
      <c r="S602" s="225"/>
      <c r="T602" s="225"/>
      <c r="U602" s="225"/>
      <c r="V602" s="225"/>
      <c r="W602" s="225"/>
      <c r="X602" s="225"/>
    </row>
    <row r="603" spans="1:24" ht="14.25" x14ac:dyDescent="0.2">
      <c r="A603" s="225"/>
      <c r="B603" s="225"/>
      <c r="C603" s="225"/>
      <c r="D603" s="225"/>
      <c r="E603" s="225"/>
      <c r="F603" s="225"/>
      <c r="G603" s="225"/>
      <c r="H603" s="225"/>
      <c r="I603" s="225"/>
      <c r="J603" s="225"/>
      <c r="K603" s="225"/>
      <c r="L603" s="225"/>
      <c r="M603" s="225"/>
      <c r="N603" s="225"/>
      <c r="O603" s="225"/>
      <c r="P603" s="225"/>
      <c r="Q603" s="225"/>
      <c r="R603" s="225"/>
      <c r="S603" s="225"/>
      <c r="T603" s="225"/>
      <c r="U603" s="225"/>
      <c r="V603" s="225"/>
      <c r="W603" s="225"/>
      <c r="X603" s="225"/>
    </row>
    <row r="604" spans="1:24" ht="14.25" x14ac:dyDescent="0.2">
      <c r="A604" s="225"/>
      <c r="B604" s="225"/>
      <c r="C604" s="225"/>
      <c r="D604" s="225"/>
      <c r="E604" s="225"/>
      <c r="F604" s="225"/>
      <c r="G604" s="225"/>
      <c r="H604" s="225"/>
      <c r="I604" s="225"/>
      <c r="J604" s="225"/>
      <c r="K604" s="225"/>
      <c r="L604" s="225"/>
      <c r="M604" s="225"/>
      <c r="N604" s="225"/>
      <c r="O604" s="225"/>
      <c r="P604" s="225"/>
      <c r="Q604" s="225"/>
      <c r="R604" s="225"/>
      <c r="S604" s="225"/>
      <c r="T604" s="225"/>
      <c r="U604" s="225"/>
      <c r="V604" s="225"/>
      <c r="W604" s="225"/>
      <c r="X604" s="225"/>
    </row>
    <row r="605" spans="1:24" ht="14.25" x14ac:dyDescent="0.2">
      <c r="A605" s="225"/>
      <c r="B605" s="225"/>
      <c r="C605" s="225"/>
      <c r="D605" s="225"/>
      <c r="E605" s="225"/>
      <c r="F605" s="225"/>
      <c r="G605" s="225"/>
      <c r="H605" s="225"/>
      <c r="I605" s="225"/>
      <c r="J605" s="225"/>
      <c r="K605" s="225"/>
      <c r="L605" s="225"/>
      <c r="M605" s="225"/>
      <c r="N605" s="225"/>
      <c r="O605" s="225"/>
      <c r="P605" s="225"/>
      <c r="Q605" s="225"/>
      <c r="R605" s="225"/>
      <c r="S605" s="225"/>
      <c r="T605" s="225"/>
      <c r="U605" s="225"/>
      <c r="V605" s="225"/>
      <c r="W605" s="225"/>
      <c r="X605" s="225"/>
    </row>
    <row r="606" spans="1:24" ht="14.25" x14ac:dyDescent="0.2">
      <c r="A606" s="225"/>
      <c r="B606" s="225"/>
      <c r="C606" s="225"/>
      <c r="D606" s="225"/>
      <c r="E606" s="225"/>
      <c r="F606" s="225"/>
      <c r="G606" s="225"/>
      <c r="H606" s="225"/>
      <c r="I606" s="225"/>
      <c r="J606" s="225"/>
      <c r="K606" s="225"/>
      <c r="L606" s="225"/>
      <c r="M606" s="225"/>
      <c r="N606" s="225"/>
      <c r="O606" s="225"/>
      <c r="P606" s="225"/>
      <c r="Q606" s="225"/>
      <c r="R606" s="225"/>
      <c r="S606" s="225"/>
      <c r="T606" s="225"/>
      <c r="U606" s="225"/>
      <c r="V606" s="225"/>
      <c r="W606" s="225"/>
      <c r="X606" s="225"/>
    </row>
    <row r="607" spans="1:24" ht="14.25" x14ac:dyDescent="0.2">
      <c r="A607" s="225"/>
      <c r="B607" s="225"/>
      <c r="C607" s="225"/>
      <c r="D607" s="225"/>
      <c r="E607" s="225"/>
      <c r="F607" s="225"/>
      <c r="G607" s="225"/>
      <c r="H607" s="225"/>
      <c r="I607" s="225"/>
      <c r="J607" s="225"/>
      <c r="K607" s="225"/>
      <c r="L607" s="225"/>
      <c r="M607" s="225"/>
      <c r="N607" s="225"/>
      <c r="O607" s="225"/>
      <c r="P607" s="225"/>
      <c r="Q607" s="225"/>
      <c r="R607" s="225"/>
      <c r="S607" s="225"/>
      <c r="T607" s="225"/>
      <c r="U607" s="225"/>
      <c r="V607" s="225"/>
      <c r="W607" s="225"/>
      <c r="X607" s="225"/>
    </row>
    <row r="608" spans="1:24" ht="14.25" x14ac:dyDescent="0.2">
      <c r="A608" s="225"/>
      <c r="B608" s="225"/>
      <c r="C608" s="225"/>
      <c r="D608" s="225"/>
      <c r="E608" s="225"/>
      <c r="F608" s="225"/>
      <c r="G608" s="225"/>
      <c r="H608" s="225"/>
      <c r="I608" s="225"/>
      <c r="J608" s="225"/>
      <c r="K608" s="225"/>
      <c r="L608" s="225"/>
      <c r="M608" s="225"/>
      <c r="N608" s="225"/>
      <c r="O608" s="225"/>
      <c r="P608" s="225"/>
      <c r="Q608" s="225"/>
      <c r="R608" s="225"/>
      <c r="S608" s="225"/>
      <c r="T608" s="225"/>
      <c r="U608" s="225"/>
      <c r="V608" s="225"/>
      <c r="W608" s="225"/>
      <c r="X608" s="225"/>
    </row>
    <row r="609" spans="1:24" ht="14.25" x14ac:dyDescent="0.2">
      <c r="A609" s="225"/>
      <c r="B609" s="225"/>
      <c r="C609" s="225"/>
      <c r="D609" s="225"/>
      <c r="E609" s="225"/>
      <c r="F609" s="225"/>
      <c r="G609" s="225"/>
      <c r="H609" s="225"/>
      <c r="I609" s="225"/>
      <c r="J609" s="225"/>
      <c r="K609" s="225"/>
      <c r="L609" s="225"/>
      <c r="M609" s="225"/>
      <c r="N609" s="225"/>
      <c r="O609" s="225"/>
      <c r="P609" s="225"/>
      <c r="Q609" s="225"/>
      <c r="R609" s="225"/>
      <c r="S609" s="225"/>
      <c r="T609" s="225"/>
      <c r="U609" s="225"/>
      <c r="V609" s="225"/>
      <c r="W609" s="225"/>
      <c r="X609" s="225"/>
    </row>
    <row r="610" spans="1:24" ht="14.25" x14ac:dyDescent="0.2">
      <c r="A610" s="225"/>
      <c r="B610" s="225"/>
      <c r="C610" s="225"/>
      <c r="D610" s="225"/>
      <c r="E610" s="225"/>
      <c r="F610" s="225"/>
      <c r="G610" s="225"/>
      <c r="H610" s="225"/>
      <c r="I610" s="225"/>
      <c r="J610" s="225"/>
      <c r="K610" s="225"/>
      <c r="L610" s="225"/>
      <c r="M610" s="225"/>
      <c r="N610" s="225"/>
      <c r="O610" s="225"/>
      <c r="P610" s="225"/>
      <c r="Q610" s="225"/>
      <c r="R610" s="225"/>
      <c r="S610" s="225"/>
      <c r="T610" s="225"/>
      <c r="U610" s="225"/>
      <c r="V610" s="225"/>
      <c r="W610" s="225"/>
      <c r="X610" s="225"/>
    </row>
    <row r="611" spans="1:24" ht="14.25" x14ac:dyDescent="0.2">
      <c r="A611" s="225"/>
      <c r="B611" s="225"/>
      <c r="C611" s="225"/>
      <c r="D611" s="225"/>
      <c r="E611" s="225"/>
      <c r="F611" s="225"/>
      <c r="G611" s="225"/>
      <c r="H611" s="225"/>
      <c r="I611" s="225"/>
      <c r="J611" s="225"/>
      <c r="K611" s="225"/>
      <c r="L611" s="225"/>
      <c r="M611" s="225"/>
      <c r="N611" s="225"/>
      <c r="O611" s="225"/>
      <c r="P611" s="225"/>
      <c r="Q611" s="225"/>
      <c r="R611" s="225"/>
      <c r="S611" s="225"/>
      <c r="T611" s="225"/>
      <c r="U611" s="225"/>
      <c r="V611" s="225"/>
      <c r="W611" s="225"/>
      <c r="X611" s="225"/>
    </row>
    <row r="612" spans="1:24" ht="14.25" x14ac:dyDescent="0.2">
      <c r="A612" s="225"/>
      <c r="B612" s="225"/>
      <c r="C612" s="225"/>
      <c r="D612" s="225"/>
      <c r="E612" s="225"/>
      <c r="F612" s="225"/>
      <c r="G612" s="225"/>
      <c r="H612" s="225"/>
      <c r="I612" s="225"/>
      <c r="J612" s="225"/>
      <c r="K612" s="225"/>
      <c r="L612" s="225"/>
      <c r="M612" s="225"/>
      <c r="N612" s="225"/>
      <c r="O612" s="225"/>
      <c r="P612" s="225"/>
      <c r="Q612" s="225"/>
      <c r="R612" s="225"/>
      <c r="S612" s="225"/>
      <c r="T612" s="225"/>
      <c r="U612" s="225"/>
      <c r="V612" s="225"/>
      <c r="W612" s="225"/>
      <c r="X612" s="225"/>
    </row>
    <row r="613" spans="1:24" ht="14.25" x14ac:dyDescent="0.2">
      <c r="A613" s="225"/>
      <c r="B613" s="225"/>
      <c r="C613" s="225"/>
      <c r="D613" s="225"/>
      <c r="E613" s="225"/>
      <c r="F613" s="225"/>
      <c r="G613" s="225"/>
      <c r="H613" s="225"/>
      <c r="I613" s="225"/>
      <c r="J613" s="225"/>
      <c r="K613" s="225"/>
      <c r="L613" s="225"/>
      <c r="M613" s="225"/>
      <c r="N613" s="225"/>
      <c r="O613" s="225"/>
      <c r="P613" s="225"/>
      <c r="Q613" s="225"/>
      <c r="R613" s="225"/>
      <c r="S613" s="225"/>
      <c r="T613" s="225"/>
      <c r="U613" s="225"/>
      <c r="V613" s="225"/>
      <c r="W613" s="225"/>
      <c r="X613" s="225"/>
    </row>
    <row r="614" spans="1:24" ht="14.25" x14ac:dyDescent="0.2">
      <c r="A614" s="225"/>
      <c r="B614" s="225"/>
      <c r="C614" s="225"/>
      <c r="D614" s="225"/>
      <c r="E614" s="225"/>
      <c r="F614" s="225"/>
      <c r="G614" s="225"/>
      <c r="H614" s="225"/>
      <c r="I614" s="225"/>
      <c r="J614" s="225"/>
      <c r="K614" s="225"/>
      <c r="L614" s="225"/>
      <c r="M614" s="225"/>
      <c r="N614" s="225"/>
      <c r="O614" s="225"/>
      <c r="P614" s="225"/>
      <c r="Q614" s="225"/>
      <c r="R614" s="225"/>
      <c r="S614" s="225"/>
      <c r="T614" s="225"/>
      <c r="U614" s="225"/>
      <c r="V614" s="225"/>
      <c r="W614" s="225"/>
      <c r="X614" s="225"/>
    </row>
    <row r="615" spans="1:24" ht="14.25" x14ac:dyDescent="0.2">
      <c r="A615" s="225"/>
      <c r="B615" s="225"/>
      <c r="C615" s="225"/>
      <c r="D615" s="225"/>
      <c r="E615" s="225"/>
      <c r="F615" s="225"/>
      <c r="G615" s="225"/>
      <c r="H615" s="225"/>
      <c r="I615" s="225"/>
      <c r="J615" s="225"/>
      <c r="K615" s="225"/>
      <c r="L615" s="225"/>
      <c r="M615" s="225"/>
      <c r="N615" s="225"/>
      <c r="O615" s="225"/>
      <c r="P615" s="225"/>
      <c r="Q615" s="225"/>
      <c r="R615" s="225"/>
      <c r="S615" s="225"/>
      <c r="T615" s="225"/>
      <c r="U615" s="225"/>
      <c r="V615" s="225"/>
      <c r="W615" s="225"/>
      <c r="X615" s="225"/>
    </row>
    <row r="616" spans="1:24" ht="14.25" x14ac:dyDescent="0.2">
      <c r="A616" s="225"/>
      <c r="B616" s="225"/>
      <c r="C616" s="225"/>
      <c r="D616" s="225"/>
      <c r="E616" s="225"/>
      <c r="F616" s="225"/>
      <c r="G616" s="225"/>
      <c r="H616" s="225"/>
      <c r="I616" s="225"/>
      <c r="J616" s="225"/>
      <c r="K616" s="225"/>
      <c r="L616" s="225"/>
      <c r="M616" s="225"/>
      <c r="N616" s="225"/>
      <c r="O616" s="225"/>
      <c r="P616" s="225"/>
      <c r="Q616" s="225"/>
      <c r="R616" s="225"/>
      <c r="S616" s="225"/>
      <c r="T616" s="225"/>
      <c r="U616" s="225"/>
      <c r="V616" s="225"/>
      <c r="W616" s="225"/>
      <c r="X616" s="225"/>
    </row>
    <row r="617" spans="1:24" ht="14.25" x14ac:dyDescent="0.2">
      <c r="A617" s="225"/>
      <c r="B617" s="225"/>
      <c r="C617" s="225"/>
      <c r="D617" s="225"/>
      <c r="E617" s="225"/>
      <c r="F617" s="225"/>
      <c r="G617" s="225"/>
      <c r="H617" s="225"/>
      <c r="I617" s="225"/>
      <c r="J617" s="225"/>
      <c r="K617" s="225"/>
      <c r="L617" s="225"/>
      <c r="M617" s="225"/>
      <c r="N617" s="225"/>
      <c r="O617" s="225"/>
      <c r="P617" s="225"/>
      <c r="Q617" s="225"/>
      <c r="R617" s="225"/>
      <c r="S617" s="225"/>
      <c r="T617" s="225"/>
      <c r="U617" s="225"/>
      <c r="V617" s="225"/>
      <c r="W617" s="225"/>
      <c r="X617" s="225"/>
    </row>
    <row r="618" spans="1:24" ht="14.25" x14ac:dyDescent="0.2">
      <c r="A618" s="225"/>
      <c r="B618" s="225"/>
      <c r="C618" s="225"/>
      <c r="D618" s="225"/>
      <c r="E618" s="225"/>
      <c r="F618" s="225"/>
      <c r="G618" s="225"/>
      <c r="H618" s="225"/>
      <c r="I618" s="225"/>
      <c r="J618" s="225"/>
      <c r="K618" s="225"/>
      <c r="L618" s="225"/>
      <c r="M618" s="225"/>
      <c r="N618" s="225"/>
      <c r="O618" s="225"/>
      <c r="P618" s="225"/>
      <c r="Q618" s="225"/>
      <c r="R618" s="225"/>
      <c r="S618" s="225"/>
      <c r="T618" s="225"/>
      <c r="U618" s="225"/>
      <c r="V618" s="225"/>
      <c r="W618" s="225"/>
      <c r="X618" s="225"/>
    </row>
    <row r="619" spans="1:24" ht="14.25" x14ac:dyDescent="0.2">
      <c r="A619" s="225"/>
      <c r="B619" s="225"/>
      <c r="C619" s="225"/>
      <c r="D619" s="225"/>
      <c r="E619" s="225"/>
      <c r="F619" s="225"/>
      <c r="G619" s="225"/>
      <c r="H619" s="225"/>
      <c r="I619" s="225"/>
      <c r="J619" s="225"/>
      <c r="K619" s="225"/>
      <c r="L619" s="225"/>
      <c r="M619" s="225"/>
      <c r="N619" s="225"/>
      <c r="O619" s="225"/>
      <c r="P619" s="225"/>
      <c r="Q619" s="225"/>
      <c r="R619" s="225"/>
      <c r="S619" s="225"/>
      <c r="T619" s="225"/>
      <c r="U619" s="225"/>
      <c r="V619" s="225"/>
      <c r="W619" s="225"/>
      <c r="X619" s="225"/>
    </row>
    <row r="620" spans="1:24" ht="14.25" x14ac:dyDescent="0.2">
      <c r="A620" s="225"/>
      <c r="B620" s="225"/>
      <c r="C620" s="225"/>
      <c r="D620" s="225"/>
      <c r="E620" s="225"/>
      <c r="F620" s="225"/>
      <c r="G620" s="225"/>
      <c r="H620" s="225"/>
      <c r="I620" s="225"/>
      <c r="J620" s="225"/>
      <c r="K620" s="225"/>
      <c r="L620" s="225"/>
      <c r="M620" s="225"/>
      <c r="N620" s="225"/>
      <c r="O620" s="225"/>
      <c r="P620" s="225"/>
      <c r="Q620" s="225"/>
      <c r="R620" s="225"/>
      <c r="S620" s="225"/>
      <c r="T620" s="225"/>
      <c r="U620" s="225"/>
      <c r="V620" s="225"/>
      <c r="W620" s="225"/>
      <c r="X620" s="225"/>
    </row>
    <row r="621" spans="1:24" ht="14.25" x14ac:dyDescent="0.2">
      <c r="A621" s="225"/>
      <c r="B621" s="225"/>
      <c r="C621" s="225"/>
      <c r="D621" s="225"/>
      <c r="E621" s="225"/>
      <c r="F621" s="225"/>
      <c r="G621" s="225"/>
      <c r="H621" s="225"/>
      <c r="I621" s="225"/>
      <c r="J621" s="225"/>
      <c r="K621" s="225"/>
      <c r="L621" s="225"/>
      <c r="M621" s="225"/>
      <c r="N621" s="225"/>
      <c r="O621" s="225"/>
      <c r="P621" s="225"/>
      <c r="Q621" s="225"/>
      <c r="R621" s="225"/>
      <c r="S621" s="225"/>
      <c r="T621" s="225"/>
      <c r="U621" s="225"/>
      <c r="V621" s="225"/>
      <c r="W621" s="225"/>
      <c r="X621" s="225"/>
    </row>
    <row r="622" spans="1:24" ht="14.25" x14ac:dyDescent="0.2">
      <c r="A622" s="225"/>
      <c r="B622" s="225"/>
      <c r="C622" s="225"/>
      <c r="D622" s="225"/>
      <c r="E622" s="225"/>
      <c r="F622" s="225"/>
      <c r="G622" s="225"/>
      <c r="H622" s="225"/>
      <c r="I622" s="225"/>
      <c r="J622" s="225"/>
      <c r="K622" s="225"/>
      <c r="L622" s="225"/>
      <c r="M622" s="225"/>
      <c r="N622" s="225"/>
      <c r="O622" s="225"/>
      <c r="P622" s="225"/>
      <c r="Q622" s="225"/>
      <c r="R622" s="225"/>
      <c r="S622" s="225"/>
      <c r="T622" s="225"/>
      <c r="U622" s="225"/>
      <c r="V622" s="225"/>
      <c r="W622" s="225"/>
      <c r="X622" s="225"/>
    </row>
    <row r="623" spans="1:24" ht="14.25" x14ac:dyDescent="0.2">
      <c r="A623" s="225"/>
      <c r="B623" s="225"/>
      <c r="C623" s="225"/>
      <c r="D623" s="225"/>
      <c r="E623" s="225"/>
      <c r="F623" s="225"/>
      <c r="G623" s="225"/>
      <c r="H623" s="225"/>
      <c r="I623" s="225"/>
      <c r="J623" s="225"/>
      <c r="K623" s="225"/>
      <c r="L623" s="225"/>
      <c r="M623" s="225"/>
      <c r="N623" s="225"/>
      <c r="O623" s="225"/>
      <c r="P623" s="225"/>
      <c r="Q623" s="225"/>
      <c r="R623" s="225"/>
      <c r="S623" s="225"/>
      <c r="T623" s="225"/>
      <c r="U623" s="225"/>
      <c r="V623" s="225"/>
      <c r="W623" s="225"/>
      <c r="X623" s="225"/>
    </row>
    <row r="624" spans="1:24" ht="14.25" x14ac:dyDescent="0.2">
      <c r="A624" s="225"/>
      <c r="B624" s="225"/>
      <c r="C624" s="225"/>
      <c r="D624" s="225"/>
      <c r="E624" s="225"/>
      <c r="F624" s="225"/>
      <c r="G624" s="225"/>
      <c r="H624" s="225"/>
      <c r="I624" s="225"/>
      <c r="J624" s="225"/>
      <c r="K624" s="225"/>
      <c r="L624" s="225"/>
      <c r="M624" s="225"/>
      <c r="N624" s="225"/>
      <c r="O624" s="225"/>
      <c r="P624" s="225"/>
      <c r="Q624" s="225"/>
      <c r="R624" s="225"/>
      <c r="S624" s="225"/>
      <c r="T624" s="225"/>
      <c r="U624" s="225"/>
      <c r="V624" s="225"/>
      <c r="W624" s="225"/>
      <c r="X624" s="225"/>
    </row>
    <row r="625" spans="1:24" ht="14.25" x14ac:dyDescent="0.2">
      <c r="A625" s="225"/>
      <c r="B625" s="225"/>
      <c r="C625" s="225"/>
      <c r="D625" s="225"/>
      <c r="E625" s="225"/>
      <c r="F625" s="225"/>
      <c r="G625" s="225"/>
      <c r="H625" s="225"/>
      <c r="I625" s="225"/>
      <c r="J625" s="225"/>
      <c r="K625" s="225"/>
      <c r="L625" s="225"/>
      <c r="M625" s="225"/>
      <c r="N625" s="225"/>
      <c r="O625" s="225"/>
      <c r="P625" s="225"/>
      <c r="Q625" s="225"/>
      <c r="R625" s="225"/>
      <c r="S625" s="225"/>
      <c r="T625" s="225"/>
      <c r="U625" s="225"/>
      <c r="V625" s="225"/>
      <c r="W625" s="225"/>
      <c r="X625" s="225"/>
    </row>
    <row r="626" spans="1:24" ht="14.25" x14ac:dyDescent="0.2">
      <c r="A626" s="225"/>
      <c r="B626" s="225"/>
      <c r="C626" s="225"/>
      <c r="D626" s="225"/>
      <c r="E626" s="225"/>
      <c r="F626" s="225"/>
      <c r="G626" s="225"/>
      <c r="H626" s="225"/>
      <c r="I626" s="225"/>
      <c r="J626" s="225"/>
      <c r="K626" s="225"/>
      <c r="L626" s="225"/>
      <c r="M626" s="225"/>
      <c r="N626" s="225"/>
      <c r="O626" s="225"/>
      <c r="P626" s="225"/>
      <c r="Q626" s="225"/>
      <c r="R626" s="225"/>
      <c r="S626" s="225"/>
      <c r="T626" s="225"/>
      <c r="U626" s="225"/>
      <c r="V626" s="225"/>
      <c r="W626" s="225"/>
      <c r="X626" s="225"/>
    </row>
    <row r="627" spans="1:24" ht="14.25" x14ac:dyDescent="0.2">
      <c r="A627" s="225"/>
      <c r="B627" s="225"/>
      <c r="C627" s="225"/>
      <c r="D627" s="225"/>
      <c r="E627" s="225"/>
      <c r="F627" s="225"/>
      <c r="G627" s="225"/>
      <c r="H627" s="225"/>
      <c r="I627" s="225"/>
      <c r="J627" s="225"/>
      <c r="K627" s="225"/>
      <c r="L627" s="225"/>
      <c r="M627" s="225"/>
      <c r="N627" s="225"/>
      <c r="O627" s="225"/>
      <c r="P627" s="225"/>
      <c r="Q627" s="225"/>
      <c r="R627" s="225"/>
      <c r="S627" s="225"/>
      <c r="T627" s="225"/>
      <c r="U627" s="225"/>
      <c r="V627" s="225"/>
      <c r="W627" s="225"/>
      <c r="X627" s="225"/>
    </row>
    <row r="628" spans="1:24" ht="14.25" x14ac:dyDescent="0.2">
      <c r="A628" s="225"/>
      <c r="B628" s="225"/>
      <c r="C628" s="225"/>
      <c r="D628" s="225"/>
      <c r="E628" s="225"/>
      <c r="F628" s="225"/>
      <c r="G628" s="225"/>
      <c r="H628" s="225"/>
      <c r="I628" s="225"/>
      <c r="J628" s="225"/>
      <c r="K628" s="225"/>
      <c r="L628" s="225"/>
      <c r="M628" s="225"/>
      <c r="N628" s="225"/>
      <c r="O628" s="225"/>
      <c r="P628" s="225"/>
      <c r="Q628" s="225"/>
      <c r="R628" s="225"/>
      <c r="S628" s="225"/>
      <c r="T628" s="225"/>
      <c r="U628" s="225"/>
      <c r="V628" s="225"/>
      <c r="W628" s="225"/>
      <c r="X628" s="225"/>
    </row>
    <row r="629" spans="1:24" ht="14.25" x14ac:dyDescent="0.2">
      <c r="A629" s="225"/>
      <c r="B629" s="225"/>
      <c r="C629" s="225"/>
      <c r="D629" s="225"/>
      <c r="E629" s="225"/>
      <c r="F629" s="225"/>
      <c r="G629" s="225"/>
      <c r="H629" s="225"/>
      <c r="I629" s="225"/>
      <c r="J629" s="225"/>
      <c r="K629" s="225"/>
      <c r="L629" s="225"/>
      <c r="M629" s="225"/>
      <c r="N629" s="225"/>
      <c r="O629" s="225"/>
      <c r="P629" s="225"/>
      <c r="Q629" s="225"/>
      <c r="R629" s="225"/>
      <c r="S629" s="225"/>
      <c r="T629" s="225"/>
      <c r="U629" s="225"/>
      <c r="V629" s="225"/>
      <c r="W629" s="225"/>
      <c r="X629" s="225"/>
    </row>
    <row r="630" spans="1:24" ht="14.25" x14ac:dyDescent="0.2">
      <c r="A630" s="225"/>
      <c r="B630" s="225"/>
      <c r="C630" s="225"/>
      <c r="D630" s="225"/>
      <c r="E630" s="225"/>
      <c r="F630" s="225"/>
      <c r="G630" s="225"/>
      <c r="H630" s="225"/>
      <c r="I630" s="225"/>
      <c r="J630" s="225"/>
      <c r="K630" s="225"/>
      <c r="L630" s="225"/>
      <c r="M630" s="225"/>
      <c r="N630" s="225"/>
      <c r="O630" s="225"/>
      <c r="P630" s="225"/>
      <c r="Q630" s="225"/>
      <c r="R630" s="225"/>
      <c r="S630" s="225"/>
      <c r="T630" s="225"/>
      <c r="U630" s="225"/>
      <c r="V630" s="225"/>
      <c r="W630" s="225"/>
      <c r="X630" s="225"/>
    </row>
    <row r="631" spans="1:24" ht="14.25" x14ac:dyDescent="0.2">
      <c r="A631" s="225"/>
      <c r="B631" s="225"/>
      <c r="C631" s="225"/>
      <c r="D631" s="225"/>
      <c r="E631" s="225"/>
      <c r="F631" s="225"/>
      <c r="G631" s="225"/>
      <c r="H631" s="225"/>
      <c r="I631" s="225"/>
      <c r="J631" s="225"/>
      <c r="K631" s="225"/>
      <c r="L631" s="225"/>
      <c r="M631" s="225"/>
      <c r="N631" s="225"/>
      <c r="O631" s="225"/>
      <c r="P631" s="225"/>
      <c r="Q631" s="225"/>
      <c r="R631" s="225"/>
      <c r="S631" s="225"/>
      <c r="T631" s="225"/>
      <c r="U631" s="225"/>
      <c r="V631" s="225"/>
      <c r="W631" s="225"/>
      <c r="X631" s="225"/>
    </row>
    <row r="632" spans="1:24" ht="14.25" x14ac:dyDescent="0.2">
      <c r="A632" s="225"/>
      <c r="B632" s="225"/>
      <c r="C632" s="225"/>
      <c r="D632" s="225"/>
      <c r="E632" s="225"/>
      <c r="F632" s="225"/>
      <c r="G632" s="225"/>
      <c r="H632" s="225"/>
      <c r="I632" s="225"/>
      <c r="J632" s="225"/>
      <c r="K632" s="225"/>
      <c r="L632" s="225"/>
      <c r="M632" s="225"/>
      <c r="N632" s="225"/>
      <c r="O632" s="225"/>
      <c r="P632" s="225"/>
      <c r="Q632" s="225"/>
      <c r="R632" s="225"/>
      <c r="S632" s="225"/>
      <c r="T632" s="225"/>
      <c r="U632" s="225"/>
      <c r="V632" s="225"/>
      <c r="W632" s="225"/>
      <c r="X632" s="225"/>
    </row>
    <row r="633" spans="1:24" ht="14.25" x14ac:dyDescent="0.2">
      <c r="A633" s="225"/>
      <c r="B633" s="225"/>
      <c r="C633" s="225"/>
      <c r="D633" s="225"/>
      <c r="E633" s="225"/>
      <c r="F633" s="225"/>
      <c r="G633" s="225"/>
      <c r="H633" s="225"/>
      <c r="I633" s="225"/>
      <c r="J633" s="225"/>
      <c r="K633" s="225"/>
      <c r="L633" s="225"/>
      <c r="M633" s="225"/>
      <c r="N633" s="225"/>
      <c r="O633" s="225"/>
      <c r="P633" s="225"/>
      <c r="Q633" s="225"/>
      <c r="R633" s="225"/>
      <c r="S633" s="225"/>
      <c r="T633" s="225"/>
      <c r="U633" s="225"/>
      <c r="V633" s="225"/>
      <c r="W633" s="225"/>
      <c r="X633" s="225"/>
    </row>
    <row r="634" spans="1:24" ht="14.25" x14ac:dyDescent="0.2">
      <c r="A634" s="225"/>
      <c r="B634" s="225"/>
      <c r="C634" s="225"/>
      <c r="D634" s="225"/>
      <c r="E634" s="225"/>
      <c r="F634" s="225"/>
      <c r="G634" s="225"/>
      <c r="H634" s="225"/>
      <c r="I634" s="225"/>
      <c r="J634" s="225"/>
      <c r="K634" s="225"/>
      <c r="L634" s="225"/>
      <c r="M634" s="225"/>
      <c r="N634" s="225"/>
      <c r="O634" s="225"/>
      <c r="P634" s="225"/>
      <c r="Q634" s="225"/>
      <c r="R634" s="225"/>
      <c r="S634" s="225"/>
      <c r="T634" s="225"/>
      <c r="U634" s="225"/>
      <c r="V634" s="225"/>
      <c r="W634" s="225"/>
      <c r="X634" s="225"/>
    </row>
    <row r="635" spans="1:24" ht="14.25" x14ac:dyDescent="0.2">
      <c r="A635" s="225"/>
      <c r="B635" s="225"/>
      <c r="C635" s="225"/>
      <c r="D635" s="225"/>
      <c r="E635" s="225"/>
      <c r="F635" s="225"/>
      <c r="G635" s="225"/>
      <c r="H635" s="225"/>
      <c r="I635" s="225"/>
      <c r="J635" s="225"/>
      <c r="K635" s="225"/>
      <c r="L635" s="225"/>
      <c r="M635" s="225"/>
      <c r="N635" s="225"/>
      <c r="O635" s="225"/>
      <c r="P635" s="225"/>
      <c r="Q635" s="225"/>
      <c r="R635" s="225"/>
      <c r="S635" s="225"/>
      <c r="T635" s="225"/>
      <c r="U635" s="225"/>
      <c r="V635" s="225"/>
      <c r="W635" s="225"/>
      <c r="X635" s="225"/>
    </row>
    <row r="636" spans="1:24" ht="14.25" x14ac:dyDescent="0.2">
      <c r="A636" s="225"/>
      <c r="B636" s="225"/>
      <c r="C636" s="225"/>
      <c r="D636" s="225"/>
      <c r="E636" s="225"/>
      <c r="F636" s="225"/>
      <c r="G636" s="225"/>
      <c r="H636" s="225"/>
      <c r="I636" s="225"/>
      <c r="J636" s="225"/>
      <c r="K636" s="225"/>
      <c r="L636" s="225"/>
      <c r="M636" s="225"/>
      <c r="N636" s="225"/>
      <c r="O636" s="225"/>
      <c r="P636" s="225"/>
      <c r="Q636" s="225"/>
      <c r="R636" s="225"/>
      <c r="S636" s="225"/>
      <c r="T636" s="225"/>
      <c r="U636" s="225"/>
      <c r="V636" s="225"/>
      <c r="W636" s="225"/>
      <c r="X636" s="225"/>
    </row>
    <row r="637" spans="1:24" ht="14.25" x14ac:dyDescent="0.2">
      <c r="A637" s="225"/>
      <c r="B637" s="225"/>
      <c r="C637" s="225"/>
      <c r="D637" s="225"/>
      <c r="E637" s="225"/>
      <c r="F637" s="225"/>
      <c r="G637" s="225"/>
      <c r="H637" s="225"/>
      <c r="I637" s="225"/>
      <c r="J637" s="225"/>
      <c r="K637" s="225"/>
      <c r="L637" s="225"/>
      <c r="M637" s="225"/>
      <c r="N637" s="225"/>
      <c r="O637" s="225"/>
      <c r="P637" s="225"/>
      <c r="Q637" s="225"/>
      <c r="R637" s="225"/>
      <c r="S637" s="225"/>
      <c r="T637" s="225"/>
      <c r="U637" s="225"/>
      <c r="V637" s="225"/>
      <c r="W637" s="225"/>
      <c r="X637" s="225"/>
    </row>
    <row r="638" spans="1:24" ht="14.25" x14ac:dyDescent="0.2">
      <c r="A638" s="225"/>
      <c r="B638" s="225"/>
      <c r="C638" s="225"/>
      <c r="D638" s="225"/>
      <c r="E638" s="225"/>
      <c r="F638" s="225"/>
      <c r="G638" s="225"/>
      <c r="H638" s="225"/>
      <c r="I638" s="225"/>
      <c r="J638" s="225"/>
      <c r="K638" s="225"/>
      <c r="L638" s="225"/>
      <c r="M638" s="225"/>
      <c r="N638" s="225"/>
      <c r="O638" s="225"/>
      <c r="P638" s="225"/>
      <c r="Q638" s="225"/>
      <c r="R638" s="225"/>
      <c r="S638" s="225"/>
      <c r="T638" s="225"/>
      <c r="U638" s="225"/>
      <c r="V638" s="225"/>
      <c r="W638" s="225"/>
      <c r="X638" s="225"/>
    </row>
    <row r="639" spans="1:24" ht="14.25" x14ac:dyDescent="0.2">
      <c r="A639" s="225"/>
      <c r="B639" s="225"/>
      <c r="C639" s="225"/>
      <c r="D639" s="225"/>
      <c r="E639" s="225"/>
      <c r="F639" s="225"/>
      <c r="G639" s="225"/>
      <c r="H639" s="225"/>
      <c r="I639" s="225"/>
      <c r="J639" s="225"/>
      <c r="K639" s="225"/>
      <c r="L639" s="225"/>
      <c r="M639" s="225"/>
      <c r="N639" s="225"/>
      <c r="O639" s="225"/>
      <c r="P639" s="225"/>
      <c r="Q639" s="225"/>
      <c r="R639" s="225"/>
      <c r="S639" s="225"/>
      <c r="T639" s="225"/>
      <c r="U639" s="225"/>
      <c r="V639" s="225"/>
      <c r="W639" s="225"/>
      <c r="X639" s="225"/>
    </row>
    <row r="640" spans="1:24" ht="14.25" x14ac:dyDescent="0.2">
      <c r="A640" s="225"/>
      <c r="B640" s="225"/>
      <c r="C640" s="225"/>
      <c r="D640" s="225"/>
      <c r="E640" s="225"/>
      <c r="F640" s="225"/>
      <c r="G640" s="225"/>
      <c r="H640" s="225"/>
      <c r="I640" s="225"/>
      <c r="J640" s="225"/>
      <c r="K640" s="225"/>
      <c r="L640" s="225"/>
      <c r="M640" s="225"/>
      <c r="N640" s="225"/>
      <c r="O640" s="225"/>
      <c r="P640" s="225"/>
      <c r="Q640" s="225"/>
      <c r="R640" s="225"/>
      <c r="S640" s="225"/>
      <c r="T640" s="225"/>
      <c r="U640" s="225"/>
      <c r="V640" s="225"/>
      <c r="W640" s="225"/>
      <c r="X640" s="225"/>
    </row>
    <row r="641" spans="1:24" ht="14.25" x14ac:dyDescent="0.2">
      <c r="A641" s="225"/>
      <c r="B641" s="225"/>
      <c r="C641" s="225"/>
      <c r="D641" s="225"/>
      <c r="E641" s="225"/>
      <c r="F641" s="225"/>
      <c r="G641" s="225"/>
      <c r="H641" s="225"/>
      <c r="I641" s="225"/>
      <c r="J641" s="225"/>
      <c r="K641" s="225"/>
      <c r="L641" s="225"/>
      <c r="M641" s="225"/>
      <c r="N641" s="225"/>
      <c r="O641" s="225"/>
      <c r="P641" s="225"/>
      <c r="Q641" s="225"/>
      <c r="R641" s="225"/>
      <c r="S641" s="225"/>
      <c r="T641" s="225"/>
      <c r="U641" s="225"/>
      <c r="V641" s="225"/>
      <c r="W641" s="225"/>
      <c r="X641" s="225"/>
    </row>
    <row r="642" spans="1:24" ht="14.25" x14ac:dyDescent="0.2">
      <c r="A642" s="225"/>
      <c r="B642" s="225"/>
      <c r="C642" s="225"/>
      <c r="D642" s="225"/>
      <c r="E642" s="225"/>
      <c r="F642" s="225"/>
      <c r="G642" s="225"/>
      <c r="H642" s="225"/>
      <c r="I642" s="225"/>
      <c r="J642" s="225"/>
      <c r="K642" s="225"/>
      <c r="L642" s="225"/>
      <c r="M642" s="225"/>
      <c r="N642" s="225"/>
      <c r="O642" s="225"/>
      <c r="P642" s="225"/>
      <c r="Q642" s="225"/>
      <c r="R642" s="225"/>
      <c r="S642" s="225"/>
      <c r="T642" s="225"/>
      <c r="U642" s="225"/>
      <c r="V642" s="225"/>
      <c r="W642" s="225"/>
      <c r="X642" s="225"/>
    </row>
    <row r="643" spans="1:24" ht="14.25" x14ac:dyDescent="0.2">
      <c r="A643" s="225"/>
      <c r="B643" s="225"/>
      <c r="C643" s="225"/>
      <c r="D643" s="225"/>
      <c r="E643" s="225"/>
      <c r="F643" s="225"/>
      <c r="G643" s="225"/>
      <c r="H643" s="225"/>
      <c r="I643" s="225"/>
      <c r="J643" s="225"/>
      <c r="K643" s="225"/>
      <c r="L643" s="225"/>
      <c r="M643" s="225"/>
      <c r="N643" s="225"/>
      <c r="O643" s="225"/>
      <c r="P643" s="225"/>
      <c r="Q643" s="225"/>
      <c r="R643" s="225"/>
      <c r="S643" s="225"/>
      <c r="T643" s="225"/>
      <c r="U643" s="225"/>
      <c r="V643" s="225"/>
      <c r="W643" s="225"/>
      <c r="X643" s="225"/>
    </row>
    <row r="644" spans="1:24" ht="14.25" x14ac:dyDescent="0.2">
      <c r="A644" s="225"/>
      <c r="B644" s="225"/>
      <c r="C644" s="225"/>
      <c r="D644" s="225"/>
      <c r="E644" s="225"/>
      <c r="F644" s="225"/>
      <c r="G644" s="225"/>
      <c r="H644" s="225"/>
      <c r="I644" s="225"/>
      <c r="J644" s="225"/>
      <c r="K644" s="225"/>
      <c r="L644" s="225"/>
      <c r="M644" s="225"/>
      <c r="N644" s="225"/>
      <c r="O644" s="225"/>
      <c r="P644" s="225"/>
      <c r="Q644" s="225"/>
      <c r="R644" s="225"/>
      <c r="S644" s="225"/>
      <c r="T644" s="225"/>
      <c r="U644" s="225"/>
      <c r="V644" s="225"/>
      <c r="W644" s="225"/>
      <c r="X644" s="225"/>
    </row>
    <row r="645" spans="1:24" ht="14.25" x14ac:dyDescent="0.2">
      <c r="A645" s="225"/>
      <c r="B645" s="225"/>
      <c r="C645" s="225"/>
      <c r="D645" s="225"/>
      <c r="E645" s="225"/>
      <c r="F645" s="225"/>
      <c r="G645" s="225"/>
      <c r="H645" s="225"/>
      <c r="I645" s="225"/>
      <c r="J645" s="225"/>
      <c r="K645" s="225"/>
      <c r="L645" s="225"/>
      <c r="M645" s="225"/>
      <c r="N645" s="225"/>
      <c r="O645" s="225"/>
      <c r="P645" s="225"/>
      <c r="Q645" s="225"/>
      <c r="R645" s="225"/>
      <c r="S645" s="225"/>
      <c r="T645" s="225"/>
      <c r="U645" s="225"/>
      <c r="V645" s="225"/>
      <c r="W645" s="225"/>
      <c r="X645" s="225"/>
    </row>
    <row r="646" spans="1:24" ht="14.25" x14ac:dyDescent="0.2">
      <c r="A646" s="225"/>
      <c r="B646" s="225"/>
      <c r="C646" s="225"/>
      <c r="D646" s="225"/>
      <c r="E646" s="225"/>
      <c r="F646" s="225"/>
      <c r="G646" s="225"/>
      <c r="H646" s="225"/>
      <c r="I646" s="225"/>
      <c r="J646" s="225"/>
      <c r="K646" s="225"/>
      <c r="L646" s="225"/>
      <c r="M646" s="225"/>
      <c r="N646" s="225"/>
      <c r="O646" s="225"/>
      <c r="P646" s="225"/>
      <c r="Q646" s="225"/>
      <c r="R646" s="225"/>
      <c r="S646" s="225"/>
      <c r="T646" s="225"/>
      <c r="U646" s="225"/>
      <c r="V646" s="225"/>
      <c r="W646" s="225"/>
      <c r="X646" s="225"/>
    </row>
    <row r="647" spans="1:24" ht="14.25" x14ac:dyDescent="0.2">
      <c r="A647" s="225"/>
      <c r="B647" s="225"/>
      <c r="C647" s="225"/>
      <c r="D647" s="225"/>
      <c r="E647" s="225"/>
      <c r="F647" s="225"/>
      <c r="G647" s="225"/>
      <c r="H647" s="225"/>
      <c r="I647" s="225"/>
      <c r="J647" s="225"/>
      <c r="K647" s="225"/>
      <c r="L647" s="225"/>
      <c r="M647" s="225"/>
      <c r="N647" s="225"/>
      <c r="O647" s="225"/>
      <c r="P647" s="225"/>
      <c r="Q647" s="225"/>
      <c r="R647" s="225"/>
      <c r="S647" s="225"/>
      <c r="T647" s="225"/>
      <c r="U647" s="225"/>
      <c r="V647" s="225"/>
      <c r="W647" s="225"/>
      <c r="X647" s="225"/>
    </row>
    <row r="648" spans="1:24" ht="14.25" x14ac:dyDescent="0.2">
      <c r="A648" s="225"/>
      <c r="B648" s="225"/>
      <c r="C648" s="225"/>
      <c r="D648" s="225"/>
      <c r="E648" s="225"/>
      <c r="F648" s="225"/>
      <c r="G648" s="225"/>
      <c r="H648" s="225"/>
      <c r="I648" s="225"/>
      <c r="J648" s="225"/>
      <c r="K648" s="225"/>
      <c r="L648" s="225"/>
      <c r="M648" s="225"/>
      <c r="N648" s="225"/>
      <c r="O648" s="225"/>
      <c r="P648" s="225"/>
      <c r="Q648" s="225"/>
      <c r="R648" s="225"/>
      <c r="S648" s="225"/>
      <c r="T648" s="225"/>
      <c r="U648" s="225"/>
      <c r="V648" s="225"/>
      <c r="W648" s="225"/>
      <c r="X648" s="225"/>
    </row>
    <row r="649" spans="1:24" ht="14.25" x14ac:dyDescent="0.2">
      <c r="A649" s="225"/>
      <c r="B649" s="225"/>
      <c r="C649" s="225"/>
      <c r="D649" s="225"/>
      <c r="E649" s="225"/>
      <c r="F649" s="225"/>
      <c r="G649" s="225"/>
      <c r="H649" s="225"/>
      <c r="I649" s="225"/>
      <c r="J649" s="225"/>
      <c r="K649" s="225"/>
      <c r="L649" s="225"/>
      <c r="M649" s="225"/>
      <c r="N649" s="225"/>
      <c r="O649" s="225"/>
      <c r="P649" s="225"/>
      <c r="Q649" s="225"/>
      <c r="R649" s="225"/>
      <c r="S649" s="225"/>
      <c r="T649" s="225"/>
      <c r="U649" s="225"/>
      <c r="V649" s="225"/>
      <c r="W649" s="225"/>
      <c r="X649" s="225"/>
    </row>
    <row r="650" spans="1:24" ht="14.25" x14ac:dyDescent="0.2">
      <c r="A650" s="225"/>
      <c r="B650" s="225"/>
      <c r="C650" s="225"/>
      <c r="D650" s="225"/>
      <c r="E650" s="225"/>
      <c r="F650" s="225"/>
      <c r="G650" s="225"/>
      <c r="H650" s="225"/>
      <c r="I650" s="225"/>
      <c r="J650" s="225"/>
      <c r="K650" s="225"/>
      <c r="L650" s="225"/>
      <c r="M650" s="225"/>
      <c r="N650" s="225"/>
      <c r="O650" s="225"/>
      <c r="P650" s="225"/>
      <c r="Q650" s="225"/>
      <c r="R650" s="225"/>
      <c r="S650" s="225"/>
      <c r="T650" s="225"/>
      <c r="U650" s="225"/>
      <c r="V650" s="225"/>
      <c r="W650" s="225"/>
      <c r="X650" s="225"/>
    </row>
    <row r="651" spans="1:24" ht="14.25" x14ac:dyDescent="0.2">
      <c r="A651" s="225"/>
      <c r="B651" s="225"/>
      <c r="C651" s="225"/>
      <c r="D651" s="225"/>
      <c r="E651" s="225"/>
      <c r="F651" s="225"/>
      <c r="G651" s="225"/>
      <c r="H651" s="225"/>
      <c r="I651" s="225"/>
      <c r="J651" s="225"/>
      <c r="K651" s="225"/>
      <c r="L651" s="225"/>
      <c r="M651" s="225"/>
      <c r="N651" s="225"/>
      <c r="O651" s="225"/>
      <c r="P651" s="225"/>
      <c r="Q651" s="225"/>
      <c r="R651" s="225"/>
      <c r="S651" s="225"/>
      <c r="T651" s="225"/>
      <c r="U651" s="225"/>
      <c r="V651" s="225"/>
      <c r="W651" s="225"/>
      <c r="X651" s="225"/>
    </row>
    <row r="652" spans="1:24" ht="14.25" x14ac:dyDescent="0.2">
      <c r="A652" s="225"/>
      <c r="B652" s="225"/>
      <c r="C652" s="225"/>
      <c r="D652" s="225"/>
      <c r="E652" s="225"/>
      <c r="F652" s="225"/>
      <c r="G652" s="225"/>
      <c r="H652" s="225"/>
      <c r="I652" s="225"/>
      <c r="J652" s="225"/>
      <c r="K652" s="225"/>
      <c r="L652" s="225"/>
      <c r="M652" s="225"/>
      <c r="N652" s="225"/>
      <c r="O652" s="225"/>
      <c r="P652" s="225"/>
      <c r="Q652" s="225"/>
      <c r="R652" s="225"/>
      <c r="S652" s="225"/>
      <c r="T652" s="225"/>
      <c r="U652" s="225"/>
      <c r="V652" s="225"/>
      <c r="W652" s="225"/>
      <c r="X652" s="225"/>
    </row>
    <row r="653" spans="1:24" ht="14.25" x14ac:dyDescent="0.2">
      <c r="A653" s="225"/>
      <c r="B653" s="225"/>
      <c r="C653" s="225"/>
      <c r="D653" s="225"/>
      <c r="E653" s="225"/>
      <c r="F653" s="225"/>
      <c r="G653" s="225"/>
      <c r="H653" s="225"/>
      <c r="I653" s="225"/>
      <c r="J653" s="225"/>
      <c r="K653" s="225"/>
      <c r="L653" s="225"/>
      <c r="M653" s="225"/>
      <c r="N653" s="225"/>
      <c r="O653" s="225"/>
      <c r="P653" s="225"/>
      <c r="Q653" s="225"/>
      <c r="R653" s="225"/>
      <c r="S653" s="225"/>
      <c r="T653" s="225"/>
      <c r="U653" s="225"/>
      <c r="V653" s="225"/>
      <c r="W653" s="225"/>
      <c r="X653" s="225"/>
    </row>
    <row r="654" spans="1:24" ht="14.25" x14ac:dyDescent="0.2">
      <c r="A654" s="225"/>
      <c r="B654" s="225"/>
      <c r="C654" s="225"/>
      <c r="D654" s="225"/>
      <c r="E654" s="225"/>
      <c r="F654" s="225"/>
      <c r="G654" s="225"/>
      <c r="H654" s="225"/>
      <c r="I654" s="225"/>
      <c r="J654" s="225"/>
      <c r="K654" s="225"/>
      <c r="L654" s="225"/>
      <c r="M654" s="225"/>
      <c r="N654" s="225"/>
      <c r="O654" s="225"/>
      <c r="P654" s="225"/>
      <c r="Q654" s="225"/>
      <c r="R654" s="225"/>
      <c r="S654" s="225"/>
      <c r="T654" s="225"/>
      <c r="U654" s="225"/>
      <c r="V654" s="225"/>
      <c r="W654" s="225"/>
      <c r="X654" s="225"/>
    </row>
    <row r="655" spans="1:24" ht="14.25" x14ac:dyDescent="0.2">
      <c r="A655" s="225"/>
      <c r="B655" s="225"/>
      <c r="C655" s="225"/>
      <c r="D655" s="225"/>
      <c r="E655" s="225"/>
      <c r="F655" s="225"/>
      <c r="G655" s="225"/>
      <c r="H655" s="225"/>
      <c r="I655" s="225"/>
      <c r="J655" s="225"/>
      <c r="K655" s="225"/>
      <c r="L655" s="225"/>
      <c r="M655" s="225"/>
      <c r="N655" s="225"/>
      <c r="O655" s="225"/>
      <c r="P655" s="225"/>
      <c r="Q655" s="225"/>
      <c r="R655" s="225"/>
      <c r="S655" s="225"/>
      <c r="T655" s="225"/>
      <c r="U655" s="225"/>
      <c r="V655" s="225"/>
      <c r="W655" s="225"/>
      <c r="X655" s="225"/>
    </row>
    <row r="656" spans="1:24" ht="14.25" x14ac:dyDescent="0.2">
      <c r="A656" s="225"/>
      <c r="B656" s="225"/>
      <c r="C656" s="225"/>
      <c r="D656" s="225"/>
      <c r="E656" s="225"/>
      <c r="F656" s="225"/>
      <c r="G656" s="225"/>
      <c r="H656" s="225"/>
      <c r="I656" s="225"/>
      <c r="J656" s="225"/>
      <c r="K656" s="225"/>
      <c r="L656" s="225"/>
      <c r="M656" s="225"/>
      <c r="N656" s="225"/>
      <c r="O656" s="225"/>
      <c r="P656" s="225"/>
      <c r="Q656" s="225"/>
      <c r="R656" s="225"/>
      <c r="S656" s="225"/>
      <c r="T656" s="225"/>
      <c r="U656" s="225"/>
      <c r="V656" s="225"/>
      <c r="W656" s="225"/>
      <c r="X656" s="225"/>
    </row>
    <row r="657" spans="1:24" ht="14.25" x14ac:dyDescent="0.2">
      <c r="A657" s="225"/>
      <c r="B657" s="225"/>
      <c r="C657" s="225"/>
      <c r="D657" s="225"/>
      <c r="E657" s="225"/>
      <c r="F657" s="225"/>
      <c r="G657" s="225"/>
      <c r="H657" s="225"/>
      <c r="I657" s="225"/>
      <c r="J657" s="225"/>
      <c r="K657" s="225"/>
      <c r="L657" s="225"/>
      <c r="M657" s="225"/>
      <c r="N657" s="225"/>
      <c r="O657" s="225"/>
      <c r="P657" s="225"/>
      <c r="Q657" s="225"/>
      <c r="R657" s="225"/>
      <c r="S657" s="225"/>
      <c r="T657" s="225"/>
      <c r="U657" s="225"/>
      <c r="V657" s="225"/>
      <c r="W657" s="225"/>
      <c r="X657" s="225"/>
    </row>
    <row r="658" spans="1:24" ht="14.25" x14ac:dyDescent="0.2">
      <c r="A658" s="225"/>
      <c r="B658" s="225"/>
      <c r="C658" s="225"/>
      <c r="D658" s="225"/>
      <c r="E658" s="225"/>
      <c r="F658" s="225"/>
      <c r="G658" s="225"/>
      <c r="H658" s="225"/>
      <c r="I658" s="225"/>
      <c r="J658" s="225"/>
      <c r="K658" s="225"/>
      <c r="L658" s="225"/>
      <c r="M658" s="225"/>
      <c r="N658" s="225"/>
      <c r="O658" s="225"/>
      <c r="P658" s="225"/>
      <c r="Q658" s="225"/>
      <c r="R658" s="225"/>
      <c r="S658" s="225"/>
      <c r="T658" s="225"/>
      <c r="U658" s="225"/>
      <c r="V658" s="225"/>
      <c r="W658" s="225"/>
      <c r="X658" s="225"/>
    </row>
    <row r="659" spans="1:24" ht="14.25" x14ac:dyDescent="0.2">
      <c r="A659" s="225"/>
      <c r="B659" s="225"/>
      <c r="C659" s="225"/>
      <c r="D659" s="225"/>
      <c r="E659" s="225"/>
      <c r="F659" s="225"/>
      <c r="G659" s="225"/>
      <c r="H659" s="225"/>
      <c r="I659" s="225"/>
      <c r="J659" s="225"/>
      <c r="K659" s="225"/>
      <c r="L659" s="225"/>
      <c r="M659" s="225"/>
      <c r="N659" s="225"/>
      <c r="O659" s="225"/>
      <c r="P659" s="225"/>
      <c r="Q659" s="225"/>
      <c r="R659" s="225"/>
      <c r="S659" s="225"/>
      <c r="T659" s="225"/>
      <c r="U659" s="225"/>
      <c r="V659" s="225"/>
      <c r="W659" s="225"/>
      <c r="X659" s="225"/>
    </row>
    <row r="660" spans="1:24" ht="14.25" x14ac:dyDescent="0.2">
      <c r="A660" s="225"/>
      <c r="B660" s="225"/>
      <c r="C660" s="225"/>
      <c r="D660" s="225"/>
      <c r="E660" s="225"/>
      <c r="F660" s="225"/>
      <c r="G660" s="225"/>
      <c r="H660" s="225"/>
      <c r="I660" s="225"/>
      <c r="J660" s="225"/>
      <c r="K660" s="225"/>
      <c r="L660" s="225"/>
      <c r="M660" s="225"/>
      <c r="N660" s="225"/>
      <c r="O660" s="225"/>
      <c r="P660" s="225"/>
      <c r="Q660" s="225"/>
      <c r="R660" s="225"/>
      <c r="S660" s="225"/>
      <c r="T660" s="225"/>
      <c r="U660" s="225"/>
      <c r="V660" s="225"/>
      <c r="W660" s="225"/>
      <c r="X660" s="225"/>
    </row>
    <row r="661" spans="1:24" ht="14.25" x14ac:dyDescent="0.2">
      <c r="A661" s="225"/>
      <c r="B661" s="225"/>
      <c r="C661" s="225"/>
      <c r="D661" s="225"/>
      <c r="E661" s="225"/>
      <c r="F661" s="225"/>
      <c r="G661" s="225"/>
      <c r="H661" s="225"/>
      <c r="I661" s="225"/>
      <c r="J661" s="225"/>
      <c r="K661" s="225"/>
      <c r="L661" s="225"/>
      <c r="M661" s="225"/>
      <c r="N661" s="225"/>
      <c r="O661" s="225"/>
      <c r="P661" s="225"/>
      <c r="Q661" s="225"/>
      <c r="R661" s="225"/>
      <c r="S661" s="225"/>
      <c r="T661" s="225"/>
      <c r="U661" s="225"/>
      <c r="V661" s="225"/>
      <c r="W661" s="225"/>
      <c r="X661" s="225"/>
    </row>
    <row r="662" spans="1:24" ht="14.25" x14ac:dyDescent="0.2">
      <c r="A662" s="225"/>
      <c r="B662" s="225"/>
      <c r="C662" s="225"/>
      <c r="D662" s="225"/>
      <c r="E662" s="225"/>
      <c r="F662" s="225"/>
      <c r="G662" s="225"/>
      <c r="H662" s="225"/>
      <c r="I662" s="225"/>
      <c r="J662" s="225"/>
      <c r="K662" s="225"/>
      <c r="L662" s="225"/>
      <c r="M662" s="225"/>
      <c r="N662" s="225"/>
      <c r="O662" s="225"/>
      <c r="P662" s="225"/>
      <c r="Q662" s="225"/>
      <c r="R662" s="225"/>
      <c r="S662" s="225"/>
      <c r="T662" s="225"/>
      <c r="U662" s="225"/>
      <c r="V662" s="225"/>
      <c r="W662" s="225"/>
      <c r="X662" s="225"/>
    </row>
    <row r="663" spans="1:24" ht="14.25" x14ac:dyDescent="0.2">
      <c r="A663" s="225"/>
      <c r="B663" s="225"/>
      <c r="C663" s="225"/>
      <c r="D663" s="225"/>
      <c r="E663" s="225"/>
      <c r="F663" s="225"/>
      <c r="G663" s="225"/>
      <c r="H663" s="225"/>
      <c r="I663" s="225"/>
      <c r="J663" s="225"/>
      <c r="K663" s="225"/>
      <c r="L663" s="225"/>
      <c r="M663" s="225"/>
      <c r="N663" s="225"/>
      <c r="O663" s="225"/>
      <c r="P663" s="225"/>
      <c r="Q663" s="225"/>
      <c r="R663" s="225"/>
      <c r="S663" s="225"/>
      <c r="T663" s="225"/>
      <c r="U663" s="225"/>
      <c r="V663" s="225"/>
      <c r="W663" s="225"/>
      <c r="X663" s="225"/>
    </row>
    <row r="664" spans="1:24" ht="14.25" x14ac:dyDescent="0.2">
      <c r="A664" s="225"/>
      <c r="B664" s="225"/>
      <c r="C664" s="225"/>
      <c r="D664" s="225"/>
      <c r="E664" s="225"/>
      <c r="F664" s="225"/>
      <c r="G664" s="225"/>
      <c r="H664" s="225"/>
      <c r="I664" s="225"/>
      <c r="J664" s="225"/>
      <c r="K664" s="225"/>
      <c r="L664" s="225"/>
      <c r="M664" s="225"/>
      <c r="N664" s="225"/>
      <c r="O664" s="225"/>
      <c r="P664" s="225"/>
      <c r="Q664" s="225"/>
      <c r="R664" s="225"/>
      <c r="S664" s="225"/>
      <c r="T664" s="225"/>
      <c r="U664" s="225"/>
      <c r="V664" s="225"/>
      <c r="W664" s="225"/>
      <c r="X664" s="225"/>
    </row>
    <row r="665" spans="1:24" ht="14.25" x14ac:dyDescent="0.2">
      <c r="A665" s="225"/>
      <c r="B665" s="225"/>
      <c r="C665" s="225"/>
      <c r="D665" s="225"/>
      <c r="E665" s="225"/>
      <c r="F665" s="225"/>
      <c r="G665" s="225"/>
      <c r="H665" s="225"/>
      <c r="I665" s="225"/>
      <c r="J665" s="225"/>
      <c r="K665" s="225"/>
      <c r="L665" s="225"/>
      <c r="M665" s="225"/>
      <c r="N665" s="225"/>
      <c r="O665" s="225"/>
      <c r="P665" s="225"/>
      <c r="Q665" s="225"/>
      <c r="R665" s="225"/>
      <c r="S665" s="225"/>
      <c r="T665" s="225"/>
      <c r="U665" s="225"/>
      <c r="V665" s="225"/>
      <c r="W665" s="225"/>
      <c r="X665" s="225"/>
    </row>
    <row r="666" spans="1:24" ht="14.25" x14ac:dyDescent="0.2">
      <c r="A666" s="225"/>
      <c r="B666" s="225"/>
      <c r="C666" s="225"/>
      <c r="D666" s="225"/>
      <c r="E666" s="225"/>
      <c r="F666" s="225"/>
      <c r="G666" s="225"/>
      <c r="H666" s="225"/>
      <c r="I666" s="225"/>
      <c r="J666" s="225"/>
      <c r="K666" s="225"/>
      <c r="L666" s="225"/>
      <c r="M666" s="225"/>
      <c r="N666" s="225"/>
      <c r="O666" s="225"/>
      <c r="P666" s="225"/>
      <c r="Q666" s="225"/>
      <c r="R666" s="225"/>
      <c r="S666" s="225"/>
      <c r="T666" s="225"/>
      <c r="U666" s="225"/>
      <c r="V666" s="225"/>
      <c r="W666" s="225"/>
      <c r="X666" s="225"/>
    </row>
    <row r="667" spans="1:24" ht="14.25" x14ac:dyDescent="0.2">
      <c r="A667" s="225"/>
      <c r="B667" s="225"/>
      <c r="C667" s="225"/>
      <c r="D667" s="225"/>
      <c r="E667" s="225"/>
      <c r="F667" s="225"/>
      <c r="G667" s="225"/>
      <c r="H667" s="225"/>
      <c r="I667" s="225"/>
      <c r="J667" s="225"/>
      <c r="K667" s="225"/>
      <c r="L667" s="225"/>
      <c r="M667" s="225"/>
      <c r="N667" s="225"/>
      <c r="O667" s="225"/>
      <c r="P667" s="225"/>
      <c r="Q667" s="225"/>
      <c r="R667" s="225"/>
      <c r="S667" s="225"/>
      <c r="T667" s="225"/>
      <c r="U667" s="225"/>
      <c r="V667" s="225"/>
      <c r="W667" s="225"/>
      <c r="X667" s="225"/>
    </row>
    <row r="668" spans="1:24" ht="14.25" x14ac:dyDescent="0.2">
      <c r="A668" s="225"/>
      <c r="B668" s="225"/>
      <c r="C668" s="225"/>
      <c r="D668" s="225"/>
      <c r="E668" s="225"/>
      <c r="F668" s="225"/>
      <c r="G668" s="225"/>
      <c r="H668" s="225"/>
      <c r="I668" s="225"/>
      <c r="J668" s="225"/>
      <c r="K668" s="225"/>
      <c r="L668" s="225"/>
      <c r="M668" s="225"/>
      <c r="N668" s="225"/>
      <c r="O668" s="225"/>
      <c r="P668" s="225"/>
      <c r="Q668" s="225"/>
      <c r="R668" s="225"/>
      <c r="S668" s="225"/>
      <c r="T668" s="225"/>
      <c r="U668" s="225"/>
      <c r="V668" s="225"/>
      <c r="W668" s="225"/>
      <c r="X668" s="225"/>
    </row>
    <row r="669" spans="1:24" ht="14.25" x14ac:dyDescent="0.2">
      <c r="A669" s="225"/>
      <c r="B669" s="225"/>
      <c r="C669" s="225"/>
      <c r="D669" s="225"/>
      <c r="E669" s="225"/>
      <c r="F669" s="225"/>
      <c r="G669" s="225"/>
      <c r="H669" s="225"/>
      <c r="I669" s="225"/>
      <c r="J669" s="225"/>
      <c r="K669" s="225"/>
      <c r="L669" s="225"/>
      <c r="M669" s="225"/>
      <c r="N669" s="225"/>
      <c r="O669" s="225"/>
      <c r="P669" s="225"/>
      <c r="Q669" s="225"/>
      <c r="R669" s="225"/>
      <c r="S669" s="225"/>
      <c r="T669" s="225"/>
      <c r="U669" s="225"/>
      <c r="V669" s="225"/>
      <c r="W669" s="225"/>
      <c r="X669" s="225"/>
    </row>
    <row r="670" spans="1:24" ht="14.25" x14ac:dyDescent="0.2">
      <c r="A670" s="225"/>
      <c r="B670" s="225"/>
      <c r="C670" s="225"/>
      <c r="D670" s="225"/>
      <c r="E670" s="225"/>
      <c r="F670" s="225"/>
      <c r="G670" s="225"/>
      <c r="H670" s="225"/>
      <c r="I670" s="225"/>
      <c r="J670" s="225"/>
      <c r="K670" s="225"/>
      <c r="L670" s="225"/>
      <c r="M670" s="225"/>
      <c r="N670" s="225"/>
      <c r="O670" s="225"/>
      <c r="P670" s="225"/>
      <c r="Q670" s="225"/>
      <c r="R670" s="225"/>
      <c r="S670" s="225"/>
      <c r="T670" s="225"/>
      <c r="U670" s="225"/>
      <c r="V670" s="225"/>
      <c r="W670" s="225"/>
      <c r="X670" s="225"/>
    </row>
    <row r="671" spans="1:24" ht="14.25" x14ac:dyDescent="0.2">
      <c r="A671" s="225"/>
      <c r="B671" s="225"/>
      <c r="C671" s="225"/>
      <c r="D671" s="225"/>
      <c r="E671" s="225"/>
      <c r="F671" s="225"/>
      <c r="G671" s="225"/>
      <c r="H671" s="225"/>
      <c r="I671" s="225"/>
      <c r="J671" s="225"/>
      <c r="K671" s="225"/>
      <c r="L671" s="225"/>
      <c r="M671" s="225"/>
      <c r="N671" s="225"/>
      <c r="O671" s="225"/>
      <c r="P671" s="225"/>
      <c r="Q671" s="225"/>
      <c r="R671" s="225"/>
      <c r="S671" s="225"/>
      <c r="T671" s="225"/>
      <c r="U671" s="225"/>
      <c r="V671" s="225"/>
      <c r="W671" s="225"/>
      <c r="X671" s="225"/>
    </row>
    <row r="672" spans="1:24" ht="14.25" x14ac:dyDescent="0.2">
      <c r="A672" s="225"/>
      <c r="B672" s="225"/>
      <c r="C672" s="225"/>
      <c r="D672" s="225"/>
      <c r="E672" s="225"/>
      <c r="F672" s="225"/>
      <c r="G672" s="225"/>
      <c r="H672" s="225"/>
      <c r="I672" s="225"/>
      <c r="J672" s="225"/>
      <c r="K672" s="225"/>
      <c r="L672" s="225"/>
      <c r="M672" s="225"/>
      <c r="N672" s="225"/>
      <c r="O672" s="225"/>
      <c r="P672" s="225"/>
      <c r="Q672" s="225"/>
      <c r="R672" s="225"/>
      <c r="S672" s="225"/>
      <c r="T672" s="225"/>
      <c r="U672" s="225"/>
      <c r="V672" s="225"/>
      <c r="W672" s="225"/>
      <c r="X672" s="225"/>
    </row>
    <row r="673" spans="1:24" ht="14.25" x14ac:dyDescent="0.2">
      <c r="A673" s="225"/>
      <c r="B673" s="225"/>
      <c r="C673" s="225"/>
      <c r="D673" s="225"/>
      <c r="E673" s="225"/>
      <c r="F673" s="225"/>
      <c r="G673" s="225"/>
      <c r="H673" s="225"/>
      <c r="I673" s="225"/>
      <c r="J673" s="225"/>
      <c r="K673" s="225"/>
      <c r="L673" s="225"/>
      <c r="M673" s="225"/>
      <c r="N673" s="225"/>
      <c r="O673" s="225"/>
      <c r="P673" s="225"/>
      <c r="Q673" s="225"/>
      <c r="R673" s="225"/>
      <c r="S673" s="225"/>
      <c r="T673" s="225"/>
      <c r="U673" s="225"/>
      <c r="V673" s="225"/>
      <c r="W673" s="225"/>
      <c r="X673" s="225"/>
    </row>
    <row r="674" spans="1:24" ht="14.25" x14ac:dyDescent="0.2">
      <c r="A674" s="225"/>
      <c r="B674" s="225"/>
      <c r="C674" s="225"/>
      <c r="D674" s="225"/>
      <c r="E674" s="225"/>
      <c r="F674" s="225"/>
      <c r="G674" s="225"/>
      <c r="H674" s="225"/>
      <c r="I674" s="225"/>
      <c r="J674" s="225"/>
      <c r="K674" s="225"/>
      <c r="L674" s="225"/>
      <c r="M674" s="225"/>
      <c r="N674" s="225"/>
      <c r="O674" s="225"/>
      <c r="P674" s="225"/>
      <c r="Q674" s="225"/>
      <c r="R674" s="225"/>
      <c r="S674" s="225"/>
      <c r="T674" s="225"/>
      <c r="U674" s="225"/>
      <c r="V674" s="225"/>
      <c r="W674" s="225"/>
      <c r="X674" s="225"/>
    </row>
    <row r="675" spans="1:24" ht="14.25" x14ac:dyDescent="0.2">
      <c r="A675" s="225"/>
      <c r="B675" s="225"/>
      <c r="C675" s="225"/>
      <c r="D675" s="225"/>
      <c r="E675" s="225"/>
      <c r="F675" s="225"/>
      <c r="G675" s="225"/>
      <c r="H675" s="225"/>
      <c r="I675" s="225"/>
      <c r="J675" s="225"/>
      <c r="K675" s="225"/>
      <c r="L675" s="225"/>
      <c r="M675" s="225"/>
      <c r="N675" s="225"/>
      <c r="O675" s="225"/>
      <c r="P675" s="225"/>
      <c r="Q675" s="225"/>
      <c r="R675" s="225"/>
      <c r="S675" s="225"/>
      <c r="T675" s="225"/>
      <c r="U675" s="225"/>
      <c r="V675" s="225"/>
      <c r="W675" s="225"/>
      <c r="X675" s="225"/>
    </row>
    <row r="676" spans="1:24" ht="14.25" x14ac:dyDescent="0.2">
      <c r="A676" s="225"/>
      <c r="B676" s="225"/>
      <c r="C676" s="225"/>
      <c r="D676" s="225"/>
      <c r="E676" s="225"/>
      <c r="F676" s="225"/>
      <c r="G676" s="225"/>
      <c r="H676" s="225"/>
      <c r="I676" s="225"/>
      <c r="J676" s="225"/>
      <c r="K676" s="225"/>
      <c r="L676" s="225"/>
      <c r="M676" s="225"/>
      <c r="N676" s="225"/>
      <c r="O676" s="225"/>
      <c r="P676" s="225"/>
      <c r="Q676" s="225"/>
      <c r="R676" s="225"/>
      <c r="S676" s="225"/>
      <c r="T676" s="225"/>
      <c r="U676" s="225"/>
      <c r="V676" s="225"/>
      <c r="W676" s="225"/>
      <c r="X676" s="225"/>
    </row>
    <row r="677" spans="1:24" ht="14.25" x14ac:dyDescent="0.2">
      <c r="A677" s="225"/>
      <c r="B677" s="225"/>
      <c r="C677" s="225"/>
      <c r="D677" s="225"/>
      <c r="E677" s="225"/>
      <c r="F677" s="225"/>
      <c r="G677" s="225"/>
      <c r="H677" s="225"/>
      <c r="I677" s="225"/>
      <c r="J677" s="225"/>
      <c r="K677" s="225"/>
      <c r="L677" s="225"/>
      <c r="M677" s="225"/>
      <c r="N677" s="225"/>
      <c r="O677" s="225"/>
      <c r="P677" s="225"/>
      <c r="Q677" s="225"/>
      <c r="R677" s="225"/>
      <c r="S677" s="225"/>
      <c r="T677" s="225"/>
      <c r="U677" s="225"/>
      <c r="V677" s="225"/>
      <c r="W677" s="225"/>
      <c r="X677" s="225"/>
    </row>
    <row r="678" spans="1:24" ht="14.25" x14ac:dyDescent="0.2">
      <c r="A678" s="225"/>
      <c r="B678" s="225"/>
      <c r="C678" s="225"/>
      <c r="D678" s="225"/>
      <c r="E678" s="225"/>
      <c r="F678" s="225"/>
      <c r="G678" s="225"/>
      <c r="H678" s="225"/>
      <c r="I678" s="225"/>
      <c r="J678" s="225"/>
      <c r="K678" s="225"/>
      <c r="L678" s="225"/>
      <c r="M678" s="225"/>
      <c r="N678" s="225"/>
      <c r="O678" s="225"/>
      <c r="P678" s="225"/>
      <c r="Q678" s="225"/>
      <c r="R678" s="225"/>
      <c r="S678" s="225"/>
      <c r="T678" s="225"/>
      <c r="U678" s="225"/>
      <c r="V678" s="225"/>
      <c r="W678" s="225"/>
      <c r="X678" s="225"/>
    </row>
    <row r="679" spans="1:24" ht="14.25" x14ac:dyDescent="0.2">
      <c r="A679" s="225"/>
      <c r="B679" s="225"/>
      <c r="C679" s="225"/>
      <c r="D679" s="225"/>
      <c r="E679" s="225"/>
      <c r="F679" s="225"/>
      <c r="G679" s="225"/>
      <c r="H679" s="225"/>
      <c r="I679" s="225"/>
      <c r="J679" s="225"/>
      <c r="K679" s="225"/>
      <c r="L679" s="225"/>
      <c r="M679" s="225"/>
      <c r="N679" s="225"/>
      <c r="O679" s="225"/>
      <c r="P679" s="225"/>
      <c r="Q679" s="225"/>
      <c r="R679" s="225"/>
      <c r="S679" s="225"/>
      <c r="T679" s="225"/>
      <c r="U679" s="225"/>
      <c r="V679" s="225"/>
      <c r="W679" s="225"/>
      <c r="X679" s="225"/>
    </row>
    <row r="680" spans="1:24" ht="14.25" x14ac:dyDescent="0.2">
      <c r="A680" s="225"/>
      <c r="B680" s="225"/>
      <c r="C680" s="225"/>
      <c r="D680" s="225"/>
      <c r="E680" s="225"/>
      <c r="F680" s="225"/>
      <c r="G680" s="225"/>
      <c r="H680" s="225"/>
      <c r="I680" s="225"/>
      <c r="J680" s="225"/>
      <c r="K680" s="225"/>
      <c r="L680" s="225"/>
      <c r="M680" s="225"/>
      <c r="N680" s="225"/>
      <c r="O680" s="225"/>
      <c r="P680" s="225"/>
      <c r="Q680" s="225"/>
      <c r="R680" s="225"/>
      <c r="S680" s="225"/>
      <c r="T680" s="225"/>
      <c r="U680" s="225"/>
      <c r="V680" s="225"/>
      <c r="W680" s="225"/>
      <c r="X680" s="225"/>
    </row>
    <row r="681" spans="1:24" ht="14.25" x14ac:dyDescent="0.2">
      <c r="A681" s="225"/>
      <c r="B681" s="225"/>
      <c r="C681" s="225"/>
      <c r="D681" s="225"/>
      <c r="E681" s="225"/>
      <c r="F681" s="225"/>
      <c r="G681" s="225"/>
      <c r="H681" s="225"/>
      <c r="I681" s="225"/>
      <c r="J681" s="225"/>
      <c r="K681" s="225"/>
      <c r="L681" s="225"/>
      <c r="M681" s="225"/>
      <c r="N681" s="225"/>
      <c r="O681" s="225"/>
      <c r="P681" s="225"/>
      <c r="Q681" s="225"/>
      <c r="R681" s="225"/>
      <c r="S681" s="225"/>
      <c r="T681" s="225"/>
      <c r="U681" s="225"/>
      <c r="V681" s="225"/>
      <c r="W681" s="225"/>
      <c r="X681" s="225"/>
    </row>
    <row r="682" spans="1:24" ht="14.25" x14ac:dyDescent="0.2">
      <c r="A682" s="225"/>
      <c r="B682" s="225"/>
      <c r="C682" s="225"/>
      <c r="D682" s="225"/>
      <c r="E682" s="225"/>
      <c r="F682" s="225"/>
      <c r="G682" s="225"/>
      <c r="H682" s="225"/>
      <c r="I682" s="225"/>
      <c r="J682" s="225"/>
      <c r="K682" s="225"/>
      <c r="L682" s="225"/>
      <c r="M682" s="225"/>
      <c r="N682" s="225"/>
      <c r="O682" s="225"/>
      <c r="P682" s="225"/>
      <c r="Q682" s="225"/>
      <c r="R682" s="225"/>
      <c r="S682" s="225"/>
      <c r="T682" s="225"/>
      <c r="U682" s="225"/>
      <c r="V682" s="225"/>
      <c r="W682" s="225"/>
      <c r="X682" s="225"/>
    </row>
    <row r="683" spans="1:24" ht="14.25" x14ac:dyDescent="0.2">
      <c r="A683" s="225"/>
      <c r="B683" s="225"/>
      <c r="C683" s="225"/>
      <c r="D683" s="225"/>
      <c r="E683" s="225"/>
      <c r="F683" s="225"/>
      <c r="G683" s="225"/>
      <c r="H683" s="225"/>
      <c r="I683" s="225"/>
      <c r="J683" s="225"/>
      <c r="K683" s="225"/>
      <c r="L683" s="225"/>
      <c r="M683" s="225"/>
      <c r="N683" s="225"/>
      <c r="O683" s="225"/>
      <c r="P683" s="225"/>
      <c r="Q683" s="225"/>
      <c r="R683" s="225"/>
      <c r="S683" s="225"/>
      <c r="T683" s="225"/>
      <c r="U683" s="225"/>
      <c r="V683" s="225"/>
      <c r="W683" s="225"/>
      <c r="X683" s="225"/>
    </row>
    <row r="684" spans="1:24" ht="14.25" x14ac:dyDescent="0.2">
      <c r="A684" s="225"/>
      <c r="B684" s="225"/>
      <c r="C684" s="225"/>
      <c r="D684" s="225"/>
      <c r="E684" s="225"/>
      <c r="F684" s="225"/>
      <c r="G684" s="225"/>
      <c r="H684" s="225"/>
      <c r="I684" s="225"/>
      <c r="J684" s="225"/>
      <c r="K684" s="225"/>
      <c r="L684" s="225"/>
      <c r="M684" s="225"/>
      <c r="N684" s="225"/>
      <c r="O684" s="225"/>
      <c r="P684" s="225"/>
      <c r="Q684" s="225"/>
      <c r="R684" s="225"/>
      <c r="S684" s="225"/>
      <c r="T684" s="225"/>
      <c r="U684" s="225"/>
      <c r="V684" s="225"/>
      <c r="W684" s="225"/>
      <c r="X684" s="225"/>
    </row>
    <row r="685" spans="1:24" ht="14.25" x14ac:dyDescent="0.2">
      <c r="A685" s="225"/>
      <c r="B685" s="225"/>
      <c r="C685" s="225"/>
      <c r="D685" s="225"/>
      <c r="E685" s="225"/>
      <c r="F685" s="225"/>
      <c r="G685" s="225"/>
      <c r="H685" s="225"/>
      <c r="I685" s="225"/>
      <c r="J685" s="225"/>
      <c r="K685" s="225"/>
      <c r="L685" s="225"/>
      <c r="M685" s="225"/>
      <c r="N685" s="225"/>
      <c r="O685" s="225"/>
      <c r="P685" s="225"/>
      <c r="Q685" s="225"/>
      <c r="R685" s="225"/>
      <c r="S685" s="225"/>
      <c r="T685" s="225"/>
      <c r="U685" s="225"/>
      <c r="V685" s="225"/>
      <c r="W685" s="225"/>
      <c r="X685" s="225"/>
    </row>
    <row r="686" spans="1:24" ht="14.25" x14ac:dyDescent="0.2">
      <c r="A686" s="225"/>
      <c r="B686" s="225"/>
      <c r="C686" s="225"/>
      <c r="D686" s="225"/>
      <c r="E686" s="225"/>
      <c r="F686" s="225"/>
      <c r="G686" s="225"/>
      <c r="H686" s="225"/>
      <c r="I686" s="225"/>
      <c r="J686" s="225"/>
      <c r="K686" s="225"/>
      <c r="L686" s="225"/>
      <c r="M686" s="225"/>
      <c r="N686" s="225"/>
      <c r="O686" s="225"/>
      <c r="P686" s="225"/>
      <c r="Q686" s="225"/>
      <c r="R686" s="225"/>
      <c r="S686" s="225"/>
      <c r="T686" s="225"/>
      <c r="U686" s="225"/>
      <c r="V686" s="225"/>
      <c r="W686" s="225"/>
      <c r="X686" s="225"/>
    </row>
    <row r="687" spans="1:24" ht="14.25" x14ac:dyDescent="0.2">
      <c r="A687" s="225"/>
      <c r="B687" s="225"/>
      <c r="C687" s="225"/>
      <c r="D687" s="225"/>
      <c r="E687" s="225"/>
      <c r="F687" s="225"/>
      <c r="G687" s="225"/>
      <c r="H687" s="225"/>
      <c r="I687" s="225"/>
      <c r="J687" s="225"/>
      <c r="K687" s="225"/>
      <c r="L687" s="225"/>
      <c r="M687" s="225"/>
      <c r="N687" s="225"/>
      <c r="O687" s="225"/>
      <c r="P687" s="225"/>
      <c r="Q687" s="225"/>
      <c r="R687" s="225"/>
      <c r="S687" s="225"/>
      <c r="T687" s="225"/>
      <c r="U687" s="225"/>
      <c r="V687" s="225"/>
      <c r="W687" s="225"/>
      <c r="X687" s="225"/>
    </row>
    <row r="688" spans="1:24" ht="14.25" x14ac:dyDescent="0.2">
      <c r="A688" s="225"/>
      <c r="B688" s="225"/>
      <c r="C688" s="225"/>
      <c r="D688" s="225"/>
      <c r="E688" s="225"/>
      <c r="F688" s="225"/>
      <c r="G688" s="225"/>
      <c r="H688" s="225"/>
      <c r="I688" s="225"/>
      <c r="J688" s="225"/>
      <c r="K688" s="225"/>
      <c r="L688" s="225"/>
      <c r="M688" s="225"/>
      <c r="N688" s="225"/>
      <c r="O688" s="225"/>
      <c r="P688" s="225"/>
      <c r="Q688" s="225"/>
      <c r="R688" s="225"/>
      <c r="S688" s="225"/>
      <c r="T688" s="225"/>
      <c r="U688" s="225"/>
      <c r="V688" s="225"/>
      <c r="W688" s="225"/>
      <c r="X688" s="225"/>
    </row>
    <row r="689" spans="1:24" ht="14.25" x14ac:dyDescent="0.2">
      <c r="A689" s="225"/>
      <c r="B689" s="225"/>
      <c r="C689" s="225"/>
      <c r="D689" s="225"/>
      <c r="E689" s="225"/>
      <c r="F689" s="225"/>
      <c r="G689" s="225"/>
      <c r="H689" s="225"/>
      <c r="I689" s="225"/>
      <c r="J689" s="225"/>
      <c r="K689" s="225"/>
      <c r="L689" s="225"/>
      <c r="M689" s="225"/>
      <c r="N689" s="225"/>
      <c r="O689" s="225"/>
      <c r="P689" s="225"/>
      <c r="Q689" s="225"/>
      <c r="R689" s="225"/>
      <c r="S689" s="225"/>
      <c r="T689" s="225"/>
      <c r="U689" s="225"/>
      <c r="V689" s="225"/>
      <c r="W689" s="225"/>
      <c r="X689" s="225"/>
    </row>
    <row r="690" spans="1:24" ht="14.25" x14ac:dyDescent="0.2">
      <c r="A690" s="225"/>
      <c r="B690" s="225"/>
      <c r="C690" s="225"/>
      <c r="D690" s="225"/>
      <c r="E690" s="225"/>
      <c r="F690" s="225"/>
      <c r="G690" s="225"/>
      <c r="H690" s="225"/>
      <c r="I690" s="225"/>
      <c r="J690" s="225"/>
      <c r="K690" s="225"/>
      <c r="L690" s="225"/>
      <c r="M690" s="225"/>
      <c r="N690" s="225"/>
      <c r="O690" s="225"/>
      <c r="P690" s="225"/>
      <c r="Q690" s="225"/>
      <c r="R690" s="225"/>
      <c r="S690" s="225"/>
      <c r="T690" s="225"/>
      <c r="U690" s="225"/>
      <c r="V690" s="225"/>
      <c r="W690" s="225"/>
      <c r="X690" s="225"/>
    </row>
    <row r="691" spans="1:24" ht="14.25" x14ac:dyDescent="0.2">
      <c r="A691" s="225"/>
      <c r="B691" s="225"/>
      <c r="C691" s="225"/>
      <c r="D691" s="225"/>
      <c r="E691" s="225"/>
      <c r="F691" s="225"/>
      <c r="G691" s="225"/>
      <c r="H691" s="225"/>
      <c r="I691" s="225"/>
      <c r="J691" s="225"/>
      <c r="K691" s="225"/>
      <c r="L691" s="225"/>
      <c r="M691" s="225"/>
      <c r="N691" s="225"/>
      <c r="O691" s="225"/>
      <c r="P691" s="225"/>
      <c r="Q691" s="225"/>
      <c r="R691" s="225"/>
      <c r="S691" s="225"/>
      <c r="T691" s="225"/>
      <c r="U691" s="225"/>
      <c r="V691" s="225"/>
      <c r="W691" s="225"/>
      <c r="X691" s="225"/>
    </row>
    <row r="692" spans="1:24" ht="14.25" x14ac:dyDescent="0.2">
      <c r="A692" s="225"/>
      <c r="B692" s="225"/>
      <c r="C692" s="225"/>
      <c r="D692" s="225"/>
      <c r="E692" s="225"/>
      <c r="F692" s="225"/>
      <c r="G692" s="225"/>
      <c r="H692" s="225"/>
      <c r="I692" s="225"/>
      <c r="J692" s="225"/>
      <c r="K692" s="225"/>
      <c r="L692" s="225"/>
      <c r="M692" s="225"/>
      <c r="N692" s="225"/>
      <c r="O692" s="225"/>
      <c r="P692" s="225"/>
      <c r="Q692" s="225"/>
      <c r="R692" s="225"/>
      <c r="S692" s="225"/>
      <c r="T692" s="225"/>
      <c r="U692" s="225"/>
      <c r="V692" s="225"/>
      <c r="W692" s="225"/>
      <c r="X692" s="225"/>
    </row>
    <row r="693" spans="1:24" ht="14.25" x14ac:dyDescent="0.2">
      <c r="A693" s="225"/>
      <c r="B693" s="225"/>
      <c r="C693" s="225"/>
      <c r="D693" s="225"/>
      <c r="E693" s="225"/>
      <c r="F693" s="225"/>
      <c r="G693" s="225"/>
      <c r="H693" s="225"/>
      <c r="I693" s="225"/>
      <c r="J693" s="225"/>
      <c r="K693" s="225"/>
      <c r="L693" s="225"/>
      <c r="M693" s="225"/>
      <c r="N693" s="225"/>
      <c r="O693" s="225"/>
      <c r="P693" s="225"/>
      <c r="Q693" s="225"/>
      <c r="R693" s="225"/>
      <c r="S693" s="225"/>
      <c r="T693" s="225"/>
      <c r="U693" s="225"/>
      <c r="V693" s="225"/>
      <c r="W693" s="225"/>
      <c r="X693" s="225"/>
    </row>
    <row r="694" spans="1:24" ht="14.25" x14ac:dyDescent="0.2">
      <c r="A694" s="225"/>
      <c r="B694" s="225"/>
      <c r="C694" s="225"/>
      <c r="D694" s="225"/>
      <c r="E694" s="225"/>
      <c r="F694" s="225"/>
      <c r="G694" s="225"/>
      <c r="H694" s="225"/>
      <c r="I694" s="225"/>
      <c r="J694" s="225"/>
      <c r="K694" s="225"/>
      <c r="L694" s="225"/>
      <c r="M694" s="225"/>
      <c r="N694" s="225"/>
      <c r="O694" s="225"/>
      <c r="P694" s="225"/>
      <c r="Q694" s="225"/>
      <c r="R694" s="225"/>
      <c r="S694" s="225"/>
      <c r="T694" s="225"/>
      <c r="U694" s="225"/>
      <c r="V694" s="225"/>
      <c r="W694" s="225"/>
      <c r="X694" s="225"/>
    </row>
    <row r="695" spans="1:24" ht="14.25" x14ac:dyDescent="0.2">
      <c r="A695" s="225"/>
      <c r="B695" s="225"/>
      <c r="C695" s="225"/>
      <c r="D695" s="225"/>
      <c r="E695" s="225"/>
      <c r="F695" s="225"/>
      <c r="G695" s="225"/>
      <c r="H695" s="225"/>
      <c r="I695" s="225"/>
      <c r="J695" s="225"/>
      <c r="K695" s="225"/>
      <c r="L695" s="225"/>
      <c r="M695" s="225"/>
      <c r="N695" s="225"/>
      <c r="O695" s="225"/>
      <c r="P695" s="225"/>
      <c r="Q695" s="225"/>
      <c r="R695" s="225"/>
      <c r="S695" s="225"/>
      <c r="T695" s="225"/>
      <c r="U695" s="225"/>
      <c r="V695" s="225"/>
      <c r="W695" s="225"/>
      <c r="X695" s="225"/>
    </row>
    <row r="696" spans="1:24" ht="14.25" x14ac:dyDescent="0.2">
      <c r="A696" s="225"/>
      <c r="B696" s="225"/>
      <c r="C696" s="225"/>
      <c r="D696" s="225"/>
      <c r="E696" s="225"/>
      <c r="F696" s="225"/>
      <c r="G696" s="225"/>
      <c r="H696" s="225"/>
      <c r="I696" s="225"/>
      <c r="J696" s="225"/>
      <c r="K696" s="225"/>
      <c r="L696" s="225"/>
      <c r="M696" s="225"/>
      <c r="N696" s="225"/>
      <c r="O696" s="225"/>
      <c r="P696" s="225"/>
      <c r="Q696" s="225"/>
      <c r="R696" s="225"/>
      <c r="S696" s="225"/>
      <c r="T696" s="225"/>
      <c r="U696" s="225"/>
      <c r="V696" s="225"/>
      <c r="W696" s="225"/>
      <c r="X696" s="225"/>
    </row>
    <row r="697" spans="1:24" ht="14.25" x14ac:dyDescent="0.2">
      <c r="A697" s="225"/>
      <c r="B697" s="225"/>
      <c r="C697" s="225"/>
      <c r="D697" s="225"/>
      <c r="E697" s="225"/>
      <c r="F697" s="225"/>
      <c r="G697" s="225"/>
      <c r="H697" s="225"/>
      <c r="I697" s="225"/>
      <c r="J697" s="225"/>
      <c r="K697" s="225"/>
      <c r="L697" s="225"/>
      <c r="M697" s="225"/>
      <c r="N697" s="225"/>
      <c r="O697" s="225"/>
      <c r="P697" s="225"/>
      <c r="Q697" s="225"/>
      <c r="R697" s="225"/>
      <c r="S697" s="225"/>
      <c r="T697" s="225"/>
      <c r="U697" s="225"/>
      <c r="V697" s="225"/>
      <c r="W697" s="225"/>
      <c r="X697" s="225"/>
    </row>
    <row r="698" spans="1:24" ht="14.25" x14ac:dyDescent="0.2">
      <c r="A698" s="225"/>
      <c r="B698" s="225"/>
      <c r="C698" s="225"/>
      <c r="D698" s="225"/>
      <c r="E698" s="225"/>
      <c r="F698" s="225"/>
      <c r="G698" s="225"/>
      <c r="H698" s="225"/>
      <c r="I698" s="225"/>
      <c r="J698" s="225"/>
      <c r="K698" s="225"/>
      <c r="L698" s="225"/>
      <c r="M698" s="225"/>
      <c r="N698" s="225"/>
      <c r="O698" s="225"/>
      <c r="P698" s="225"/>
      <c r="Q698" s="225"/>
      <c r="R698" s="225"/>
      <c r="S698" s="225"/>
      <c r="T698" s="225"/>
      <c r="U698" s="225"/>
      <c r="V698" s="225"/>
      <c r="W698" s="225"/>
      <c r="X698" s="225"/>
    </row>
    <row r="699" spans="1:24" ht="14.25" x14ac:dyDescent="0.2">
      <c r="A699" s="225"/>
      <c r="B699" s="225"/>
      <c r="C699" s="225"/>
      <c r="D699" s="225"/>
      <c r="E699" s="225"/>
      <c r="F699" s="225"/>
      <c r="G699" s="225"/>
      <c r="H699" s="225"/>
      <c r="I699" s="225"/>
      <c r="J699" s="225"/>
      <c r="K699" s="225"/>
      <c r="L699" s="225"/>
      <c r="M699" s="225"/>
      <c r="N699" s="225"/>
      <c r="O699" s="225"/>
      <c r="P699" s="225"/>
      <c r="Q699" s="225"/>
      <c r="R699" s="225"/>
      <c r="S699" s="225"/>
      <c r="T699" s="225"/>
      <c r="U699" s="225"/>
      <c r="V699" s="225"/>
      <c r="W699" s="225"/>
      <c r="X699" s="225"/>
    </row>
    <row r="700" spans="1:24" ht="14.25" x14ac:dyDescent="0.2">
      <c r="A700" s="225"/>
      <c r="B700" s="225"/>
      <c r="C700" s="225"/>
      <c r="D700" s="225"/>
      <c r="E700" s="225"/>
      <c r="F700" s="225"/>
      <c r="G700" s="225"/>
      <c r="H700" s="225"/>
      <c r="I700" s="225"/>
      <c r="J700" s="225"/>
      <c r="K700" s="225"/>
      <c r="L700" s="225"/>
      <c r="M700" s="225"/>
      <c r="N700" s="225"/>
      <c r="O700" s="225"/>
      <c r="P700" s="225"/>
      <c r="Q700" s="225"/>
      <c r="R700" s="225"/>
      <c r="S700" s="225"/>
      <c r="T700" s="225"/>
      <c r="U700" s="225"/>
      <c r="V700" s="225"/>
      <c r="W700" s="225"/>
      <c r="X700" s="225"/>
    </row>
    <row r="701" spans="1:24" ht="14.25" x14ac:dyDescent="0.2">
      <c r="A701" s="225"/>
      <c r="B701" s="225"/>
      <c r="C701" s="225"/>
      <c r="D701" s="225"/>
      <c r="E701" s="225"/>
      <c r="F701" s="225"/>
      <c r="G701" s="225"/>
      <c r="H701" s="225"/>
      <c r="I701" s="225"/>
      <c r="J701" s="225"/>
      <c r="K701" s="225"/>
      <c r="L701" s="225"/>
      <c r="M701" s="225"/>
      <c r="N701" s="225"/>
      <c r="O701" s="225"/>
      <c r="P701" s="225"/>
      <c r="Q701" s="225"/>
      <c r="R701" s="225"/>
      <c r="S701" s="225"/>
      <c r="T701" s="225"/>
      <c r="U701" s="225"/>
      <c r="V701" s="225"/>
      <c r="W701" s="225"/>
      <c r="X701" s="225"/>
    </row>
    <row r="702" spans="1:24" ht="14.25" x14ac:dyDescent="0.2">
      <c r="A702" s="225"/>
      <c r="B702" s="225"/>
      <c r="C702" s="225"/>
      <c r="D702" s="225"/>
      <c r="E702" s="225"/>
      <c r="F702" s="225"/>
      <c r="G702" s="225"/>
      <c r="H702" s="225"/>
      <c r="I702" s="225"/>
      <c r="J702" s="225"/>
      <c r="K702" s="225"/>
      <c r="L702" s="225"/>
      <c r="M702" s="225"/>
      <c r="N702" s="225"/>
      <c r="O702" s="225"/>
      <c r="P702" s="225"/>
      <c r="Q702" s="225"/>
      <c r="R702" s="225"/>
      <c r="S702" s="225"/>
      <c r="T702" s="225"/>
      <c r="U702" s="225"/>
      <c r="V702" s="225"/>
      <c r="W702" s="225"/>
      <c r="X702" s="225"/>
    </row>
    <row r="703" spans="1:24" ht="14.25" x14ac:dyDescent="0.2">
      <c r="A703" s="225"/>
      <c r="B703" s="225"/>
      <c r="C703" s="225"/>
      <c r="D703" s="225"/>
      <c r="E703" s="225"/>
      <c r="F703" s="225"/>
      <c r="G703" s="225"/>
      <c r="H703" s="225"/>
      <c r="I703" s="225"/>
      <c r="J703" s="225"/>
      <c r="K703" s="225"/>
      <c r="L703" s="225"/>
      <c r="M703" s="225"/>
      <c r="N703" s="225"/>
      <c r="O703" s="225"/>
      <c r="P703" s="225"/>
      <c r="Q703" s="225"/>
      <c r="R703" s="225"/>
      <c r="S703" s="225"/>
      <c r="T703" s="225"/>
      <c r="U703" s="225"/>
      <c r="V703" s="225"/>
      <c r="W703" s="225"/>
      <c r="X703" s="225"/>
    </row>
    <row r="704" spans="1:24" ht="14.25" x14ac:dyDescent="0.2">
      <c r="A704" s="225"/>
      <c r="B704" s="225"/>
      <c r="C704" s="225"/>
      <c r="D704" s="225"/>
      <c r="E704" s="225"/>
      <c r="F704" s="225"/>
      <c r="G704" s="225"/>
      <c r="H704" s="225"/>
      <c r="I704" s="225"/>
      <c r="J704" s="225"/>
      <c r="K704" s="225"/>
      <c r="L704" s="225"/>
      <c r="M704" s="225"/>
      <c r="N704" s="225"/>
      <c r="O704" s="225"/>
      <c r="P704" s="225"/>
      <c r="Q704" s="225"/>
      <c r="R704" s="225"/>
      <c r="S704" s="225"/>
      <c r="T704" s="225"/>
      <c r="U704" s="225"/>
      <c r="V704" s="225"/>
      <c r="W704" s="225"/>
      <c r="X704" s="225"/>
    </row>
    <row r="705" spans="1:24" ht="14.25" x14ac:dyDescent="0.2">
      <c r="A705" s="225"/>
      <c r="B705" s="225"/>
      <c r="C705" s="225"/>
      <c r="D705" s="225"/>
      <c r="E705" s="225"/>
      <c r="F705" s="225"/>
      <c r="G705" s="225"/>
      <c r="H705" s="225"/>
      <c r="I705" s="225"/>
      <c r="J705" s="225"/>
      <c r="K705" s="225"/>
      <c r="L705" s="225"/>
      <c r="M705" s="225"/>
      <c r="N705" s="225"/>
      <c r="O705" s="225"/>
      <c r="P705" s="225"/>
      <c r="Q705" s="225"/>
      <c r="R705" s="225"/>
      <c r="S705" s="225"/>
      <c r="T705" s="225"/>
      <c r="U705" s="225"/>
      <c r="V705" s="225"/>
      <c r="W705" s="225"/>
      <c r="X705" s="225"/>
    </row>
    <row r="706" spans="1:24" ht="14.25" x14ac:dyDescent="0.2">
      <c r="A706" s="225"/>
      <c r="B706" s="225"/>
      <c r="C706" s="225"/>
      <c r="D706" s="225"/>
      <c r="E706" s="225"/>
      <c r="F706" s="225"/>
      <c r="G706" s="225"/>
      <c r="H706" s="225"/>
      <c r="I706" s="225"/>
      <c r="J706" s="225"/>
      <c r="K706" s="225"/>
      <c r="L706" s="225"/>
      <c r="M706" s="225"/>
      <c r="N706" s="225"/>
      <c r="O706" s="225"/>
      <c r="P706" s="225"/>
      <c r="Q706" s="225"/>
      <c r="R706" s="225"/>
      <c r="S706" s="225"/>
      <c r="T706" s="225"/>
      <c r="U706" s="225"/>
      <c r="V706" s="225"/>
      <c r="W706" s="225"/>
      <c r="X706" s="225"/>
    </row>
    <row r="707" spans="1:24" ht="14.25" x14ac:dyDescent="0.2">
      <c r="A707" s="225"/>
      <c r="B707" s="225"/>
      <c r="C707" s="225"/>
      <c r="D707" s="225"/>
      <c r="E707" s="225"/>
      <c r="F707" s="225"/>
      <c r="G707" s="225"/>
      <c r="H707" s="225"/>
      <c r="I707" s="225"/>
      <c r="J707" s="225"/>
      <c r="K707" s="225"/>
      <c r="L707" s="225"/>
      <c r="M707" s="225"/>
      <c r="N707" s="225"/>
      <c r="O707" s="225"/>
      <c r="P707" s="225"/>
      <c r="Q707" s="225"/>
      <c r="R707" s="225"/>
      <c r="S707" s="225"/>
      <c r="T707" s="225"/>
      <c r="U707" s="225"/>
      <c r="V707" s="225"/>
      <c r="W707" s="225"/>
      <c r="X707" s="225"/>
    </row>
    <row r="708" spans="1:24" ht="14.25" x14ac:dyDescent="0.2">
      <c r="A708" s="225"/>
      <c r="B708" s="225"/>
      <c r="C708" s="225"/>
      <c r="D708" s="225"/>
      <c r="E708" s="225"/>
      <c r="F708" s="225"/>
      <c r="G708" s="225"/>
      <c r="H708" s="225"/>
      <c r="I708" s="225"/>
      <c r="J708" s="225"/>
      <c r="K708" s="225"/>
      <c r="L708" s="225"/>
      <c r="M708" s="225"/>
      <c r="N708" s="225"/>
      <c r="O708" s="225"/>
      <c r="P708" s="225"/>
      <c r="Q708" s="225"/>
      <c r="R708" s="225"/>
      <c r="S708" s="225"/>
      <c r="T708" s="225"/>
      <c r="U708" s="225"/>
      <c r="V708" s="225"/>
      <c r="W708" s="225"/>
      <c r="X708" s="225"/>
    </row>
    <row r="709" spans="1:24" ht="14.25" x14ac:dyDescent="0.2">
      <c r="A709" s="225"/>
      <c r="B709" s="225"/>
      <c r="C709" s="225"/>
      <c r="D709" s="225"/>
      <c r="E709" s="225"/>
      <c r="F709" s="225"/>
      <c r="G709" s="225"/>
      <c r="H709" s="225"/>
      <c r="I709" s="225"/>
      <c r="J709" s="225"/>
      <c r="K709" s="225"/>
      <c r="L709" s="225"/>
      <c r="M709" s="225"/>
      <c r="N709" s="225"/>
      <c r="O709" s="225"/>
      <c r="P709" s="225"/>
      <c r="Q709" s="225"/>
      <c r="R709" s="225"/>
      <c r="S709" s="225"/>
      <c r="T709" s="225"/>
      <c r="U709" s="225"/>
      <c r="V709" s="225"/>
      <c r="W709" s="225"/>
      <c r="X709" s="225"/>
    </row>
    <row r="710" spans="1:24" ht="14.25" x14ac:dyDescent="0.2">
      <c r="A710" s="225"/>
      <c r="B710" s="225"/>
      <c r="C710" s="225"/>
      <c r="D710" s="225"/>
      <c r="E710" s="225"/>
      <c r="F710" s="225"/>
      <c r="G710" s="225"/>
      <c r="H710" s="225"/>
      <c r="I710" s="225"/>
      <c r="J710" s="225"/>
      <c r="K710" s="225"/>
      <c r="L710" s="225"/>
      <c r="M710" s="225"/>
      <c r="N710" s="225"/>
      <c r="O710" s="225"/>
      <c r="P710" s="225"/>
      <c r="Q710" s="225"/>
      <c r="R710" s="225"/>
      <c r="S710" s="225"/>
      <c r="T710" s="225"/>
      <c r="U710" s="225"/>
      <c r="V710" s="225"/>
      <c r="W710" s="225"/>
      <c r="X710" s="225"/>
    </row>
    <row r="711" spans="1:24" ht="14.25" x14ac:dyDescent="0.2">
      <c r="A711" s="225"/>
      <c r="B711" s="225"/>
      <c r="C711" s="225"/>
      <c r="D711" s="225"/>
      <c r="E711" s="225"/>
      <c r="F711" s="225"/>
      <c r="G711" s="225"/>
      <c r="H711" s="225"/>
      <c r="I711" s="225"/>
      <c r="J711" s="225"/>
      <c r="K711" s="225"/>
      <c r="L711" s="225"/>
      <c r="M711" s="225"/>
      <c r="N711" s="225"/>
      <c r="O711" s="225"/>
      <c r="P711" s="225"/>
      <c r="Q711" s="225"/>
      <c r="R711" s="225"/>
      <c r="S711" s="225"/>
      <c r="T711" s="225"/>
      <c r="U711" s="225"/>
      <c r="V711" s="225"/>
      <c r="W711" s="225"/>
      <c r="X711" s="225"/>
    </row>
    <row r="712" spans="1:24" ht="14.25" x14ac:dyDescent="0.2">
      <c r="A712" s="225"/>
      <c r="B712" s="225"/>
      <c r="C712" s="225"/>
      <c r="D712" s="225"/>
      <c r="E712" s="225"/>
      <c r="F712" s="225"/>
      <c r="G712" s="225"/>
      <c r="H712" s="225"/>
      <c r="I712" s="225"/>
      <c r="J712" s="225"/>
      <c r="K712" s="225"/>
      <c r="L712" s="225"/>
      <c r="M712" s="225"/>
      <c r="N712" s="225"/>
      <c r="O712" s="225"/>
      <c r="P712" s="225"/>
      <c r="Q712" s="225"/>
      <c r="R712" s="225"/>
      <c r="S712" s="225"/>
      <c r="T712" s="225"/>
      <c r="U712" s="225"/>
      <c r="V712" s="225"/>
      <c r="W712" s="225"/>
      <c r="X712" s="225"/>
    </row>
    <row r="713" spans="1:24" ht="14.25" x14ac:dyDescent="0.2">
      <c r="A713" s="225"/>
      <c r="B713" s="225"/>
      <c r="C713" s="225"/>
      <c r="D713" s="225"/>
      <c r="E713" s="225"/>
      <c r="F713" s="225"/>
      <c r="G713" s="225"/>
      <c r="H713" s="225"/>
      <c r="I713" s="225"/>
      <c r="J713" s="225"/>
      <c r="K713" s="225"/>
      <c r="L713" s="225"/>
      <c r="M713" s="225"/>
      <c r="N713" s="225"/>
      <c r="O713" s="225"/>
      <c r="P713" s="225"/>
      <c r="Q713" s="225"/>
      <c r="R713" s="225"/>
      <c r="S713" s="225"/>
      <c r="T713" s="225"/>
      <c r="U713" s="225"/>
      <c r="V713" s="225"/>
      <c r="W713" s="225"/>
      <c r="X713" s="225"/>
    </row>
    <row r="714" spans="1:24" ht="14.25" x14ac:dyDescent="0.2">
      <c r="A714" s="225"/>
      <c r="B714" s="225"/>
      <c r="C714" s="225"/>
      <c r="D714" s="225"/>
      <c r="E714" s="225"/>
      <c r="F714" s="225"/>
      <c r="G714" s="225"/>
      <c r="H714" s="225"/>
      <c r="I714" s="225"/>
      <c r="J714" s="225"/>
      <c r="K714" s="225"/>
      <c r="L714" s="225"/>
      <c r="M714" s="225"/>
      <c r="N714" s="225"/>
      <c r="O714" s="225"/>
      <c r="P714" s="225"/>
      <c r="Q714" s="225"/>
      <c r="R714" s="225"/>
      <c r="S714" s="225"/>
      <c r="T714" s="225"/>
      <c r="U714" s="225"/>
      <c r="V714" s="225"/>
      <c r="W714" s="225"/>
      <c r="X714" s="225"/>
    </row>
    <row r="715" spans="1:24" ht="14.25" x14ac:dyDescent="0.2">
      <c r="A715" s="225"/>
      <c r="B715" s="225"/>
      <c r="C715" s="225"/>
      <c r="D715" s="225"/>
      <c r="E715" s="225"/>
      <c r="F715" s="225"/>
      <c r="G715" s="225"/>
      <c r="H715" s="225"/>
      <c r="I715" s="225"/>
      <c r="J715" s="225"/>
      <c r="K715" s="225"/>
      <c r="L715" s="225"/>
      <c r="M715" s="225"/>
      <c r="N715" s="225"/>
      <c r="O715" s="225"/>
      <c r="P715" s="225"/>
      <c r="Q715" s="225"/>
      <c r="R715" s="225"/>
      <c r="S715" s="225"/>
      <c r="T715" s="225"/>
      <c r="U715" s="225"/>
      <c r="V715" s="225"/>
      <c r="W715" s="225"/>
      <c r="X715" s="225"/>
    </row>
    <row r="716" spans="1:24" ht="14.25" x14ac:dyDescent="0.2">
      <c r="A716" s="225"/>
      <c r="B716" s="225"/>
      <c r="C716" s="225"/>
      <c r="D716" s="225"/>
      <c r="E716" s="225"/>
      <c r="F716" s="225"/>
      <c r="G716" s="225"/>
      <c r="H716" s="225"/>
      <c r="I716" s="225"/>
      <c r="J716" s="225"/>
      <c r="K716" s="225"/>
      <c r="L716" s="225"/>
      <c r="M716" s="225"/>
      <c r="N716" s="225"/>
      <c r="O716" s="225"/>
      <c r="P716" s="225"/>
      <c r="Q716" s="225"/>
      <c r="R716" s="225"/>
      <c r="S716" s="225"/>
      <c r="T716" s="225"/>
      <c r="U716" s="225"/>
      <c r="V716" s="225"/>
      <c r="W716" s="225"/>
      <c r="X716" s="225"/>
    </row>
    <row r="717" spans="1:24" ht="14.25" x14ac:dyDescent="0.2">
      <c r="A717" s="225"/>
      <c r="B717" s="225"/>
      <c r="C717" s="225"/>
      <c r="D717" s="225"/>
      <c r="E717" s="225"/>
      <c r="F717" s="225"/>
      <c r="G717" s="225"/>
      <c r="H717" s="225"/>
      <c r="I717" s="225"/>
      <c r="J717" s="225"/>
      <c r="K717" s="225"/>
      <c r="L717" s="225"/>
      <c r="M717" s="225"/>
      <c r="N717" s="225"/>
      <c r="O717" s="225"/>
      <c r="P717" s="225"/>
      <c r="Q717" s="225"/>
      <c r="R717" s="225"/>
      <c r="S717" s="225"/>
      <c r="T717" s="225"/>
      <c r="U717" s="225"/>
      <c r="V717" s="225"/>
      <c r="W717" s="225"/>
      <c r="X717" s="225"/>
    </row>
    <row r="718" spans="1:24" ht="14.25" x14ac:dyDescent="0.2">
      <c r="A718" s="225"/>
      <c r="B718" s="225"/>
      <c r="C718" s="225"/>
      <c r="D718" s="225"/>
      <c r="E718" s="225"/>
      <c r="F718" s="225"/>
      <c r="G718" s="225"/>
      <c r="H718" s="225"/>
      <c r="I718" s="225"/>
      <c r="J718" s="225"/>
      <c r="K718" s="225"/>
      <c r="L718" s="225"/>
      <c r="M718" s="225"/>
      <c r="N718" s="225"/>
      <c r="O718" s="225"/>
      <c r="P718" s="225"/>
      <c r="Q718" s="225"/>
      <c r="R718" s="225"/>
      <c r="S718" s="225"/>
      <c r="T718" s="225"/>
      <c r="U718" s="225"/>
      <c r="V718" s="225"/>
      <c r="W718" s="225"/>
      <c r="X718" s="225"/>
    </row>
    <row r="719" spans="1:24" ht="14.25" x14ac:dyDescent="0.2">
      <c r="A719" s="225"/>
      <c r="B719" s="225"/>
      <c r="C719" s="225"/>
      <c r="D719" s="225"/>
      <c r="E719" s="225"/>
      <c r="F719" s="225"/>
      <c r="G719" s="225"/>
      <c r="H719" s="225"/>
      <c r="I719" s="225"/>
      <c r="J719" s="225"/>
      <c r="K719" s="225"/>
      <c r="L719" s="225"/>
      <c r="M719" s="225"/>
      <c r="N719" s="225"/>
      <c r="O719" s="225"/>
      <c r="P719" s="225"/>
      <c r="Q719" s="225"/>
      <c r="R719" s="225"/>
      <c r="S719" s="225"/>
      <c r="T719" s="225"/>
      <c r="U719" s="225"/>
      <c r="V719" s="225"/>
      <c r="W719" s="225"/>
      <c r="X719" s="225"/>
    </row>
    <row r="720" spans="1:24" ht="14.25" x14ac:dyDescent="0.2">
      <c r="A720" s="225"/>
      <c r="B720" s="225"/>
      <c r="C720" s="225"/>
      <c r="D720" s="225"/>
      <c r="E720" s="225"/>
      <c r="F720" s="225"/>
      <c r="G720" s="225"/>
      <c r="H720" s="225"/>
      <c r="I720" s="225"/>
      <c r="J720" s="225"/>
      <c r="K720" s="225"/>
      <c r="L720" s="225"/>
      <c r="M720" s="225"/>
      <c r="N720" s="225"/>
      <c r="O720" s="225"/>
      <c r="P720" s="225"/>
      <c r="Q720" s="225"/>
      <c r="R720" s="225"/>
      <c r="S720" s="225"/>
      <c r="T720" s="225"/>
      <c r="U720" s="225"/>
      <c r="V720" s="225"/>
      <c r="W720" s="225"/>
      <c r="X720" s="225"/>
    </row>
    <row r="721" spans="1:24" ht="14.25" x14ac:dyDescent="0.2">
      <c r="A721" s="225"/>
      <c r="B721" s="225"/>
      <c r="C721" s="225"/>
      <c r="D721" s="225"/>
      <c r="E721" s="225"/>
      <c r="F721" s="225"/>
      <c r="G721" s="225"/>
      <c r="H721" s="225"/>
      <c r="I721" s="225"/>
      <c r="J721" s="225"/>
      <c r="K721" s="225"/>
      <c r="L721" s="225"/>
      <c r="M721" s="225"/>
      <c r="N721" s="225"/>
      <c r="O721" s="225"/>
      <c r="P721" s="225"/>
      <c r="Q721" s="225"/>
      <c r="R721" s="225"/>
      <c r="S721" s="225"/>
      <c r="T721" s="225"/>
      <c r="U721" s="225"/>
      <c r="V721" s="225"/>
      <c r="W721" s="225"/>
      <c r="X721" s="225"/>
    </row>
    <row r="722" spans="1:24" ht="14.25" x14ac:dyDescent="0.2">
      <c r="A722" s="225"/>
      <c r="B722" s="225"/>
      <c r="C722" s="225"/>
      <c r="D722" s="225"/>
      <c r="E722" s="225"/>
      <c r="F722" s="225"/>
      <c r="G722" s="225"/>
      <c r="H722" s="225"/>
      <c r="I722" s="225"/>
      <c r="J722" s="225"/>
      <c r="K722" s="225"/>
      <c r="L722" s="225"/>
      <c r="M722" s="225"/>
      <c r="N722" s="225"/>
      <c r="O722" s="225"/>
      <c r="P722" s="225"/>
      <c r="Q722" s="225"/>
      <c r="R722" s="225"/>
      <c r="S722" s="225"/>
      <c r="T722" s="225"/>
      <c r="U722" s="225"/>
      <c r="V722" s="225"/>
      <c r="W722" s="225"/>
      <c r="X722" s="225"/>
    </row>
    <row r="723" spans="1:24" ht="14.25" x14ac:dyDescent="0.2">
      <c r="A723" s="225"/>
      <c r="B723" s="225"/>
      <c r="C723" s="225"/>
      <c r="D723" s="225"/>
      <c r="E723" s="225"/>
      <c r="F723" s="225"/>
      <c r="G723" s="225"/>
      <c r="H723" s="225"/>
      <c r="I723" s="225"/>
      <c r="J723" s="225"/>
      <c r="K723" s="225"/>
      <c r="L723" s="225"/>
      <c r="M723" s="225"/>
      <c r="N723" s="225"/>
      <c r="O723" s="225"/>
      <c r="P723" s="225"/>
      <c r="Q723" s="225"/>
      <c r="R723" s="225"/>
      <c r="S723" s="225"/>
      <c r="T723" s="225"/>
      <c r="U723" s="225"/>
      <c r="V723" s="225"/>
      <c r="W723" s="225"/>
      <c r="X723" s="225"/>
    </row>
    <row r="724" spans="1:24" ht="14.25" x14ac:dyDescent="0.2">
      <c r="A724" s="225"/>
      <c r="B724" s="225"/>
      <c r="C724" s="225"/>
      <c r="D724" s="225"/>
      <c r="E724" s="225"/>
      <c r="F724" s="225"/>
      <c r="G724" s="225"/>
      <c r="H724" s="225"/>
      <c r="I724" s="225"/>
      <c r="J724" s="225"/>
      <c r="K724" s="225"/>
      <c r="L724" s="225"/>
      <c r="M724" s="225"/>
      <c r="N724" s="225"/>
      <c r="O724" s="225"/>
      <c r="P724" s="225"/>
      <c r="Q724" s="225"/>
      <c r="R724" s="225"/>
      <c r="S724" s="225"/>
      <c r="T724" s="225"/>
      <c r="U724" s="225"/>
      <c r="V724" s="225"/>
      <c r="W724" s="225"/>
      <c r="X724" s="225"/>
    </row>
    <row r="725" spans="1:24" ht="14.25" x14ac:dyDescent="0.2">
      <c r="A725" s="225"/>
      <c r="B725" s="225"/>
      <c r="C725" s="225"/>
      <c r="D725" s="225"/>
      <c r="E725" s="225"/>
      <c r="F725" s="225"/>
      <c r="G725" s="225"/>
      <c r="H725" s="225"/>
      <c r="I725" s="225"/>
      <c r="J725" s="225"/>
      <c r="K725" s="225"/>
      <c r="L725" s="225"/>
      <c r="M725" s="225"/>
      <c r="N725" s="225"/>
      <c r="O725" s="225"/>
      <c r="P725" s="225"/>
      <c r="Q725" s="225"/>
      <c r="R725" s="225"/>
      <c r="S725" s="225"/>
      <c r="T725" s="225"/>
      <c r="U725" s="225"/>
      <c r="V725" s="225"/>
      <c r="W725" s="225"/>
      <c r="X725" s="225"/>
    </row>
    <row r="726" spans="1:24" ht="14.25" x14ac:dyDescent="0.2">
      <c r="A726" s="225"/>
      <c r="B726" s="225"/>
      <c r="C726" s="225"/>
      <c r="D726" s="225"/>
      <c r="E726" s="225"/>
      <c r="F726" s="225"/>
      <c r="G726" s="225"/>
      <c r="H726" s="225"/>
      <c r="I726" s="225"/>
      <c r="J726" s="225"/>
      <c r="K726" s="225"/>
      <c r="L726" s="225"/>
      <c r="M726" s="225"/>
      <c r="N726" s="225"/>
      <c r="O726" s="225"/>
      <c r="P726" s="225"/>
      <c r="Q726" s="225"/>
      <c r="R726" s="225"/>
      <c r="S726" s="225"/>
      <c r="T726" s="225"/>
      <c r="U726" s="225"/>
      <c r="V726" s="225"/>
      <c r="W726" s="225"/>
      <c r="X726" s="225"/>
    </row>
    <row r="727" spans="1:24" ht="14.25" x14ac:dyDescent="0.2">
      <c r="A727" s="225"/>
      <c r="B727" s="225"/>
      <c r="C727" s="225"/>
      <c r="D727" s="225"/>
      <c r="E727" s="225"/>
      <c r="F727" s="225"/>
      <c r="G727" s="225"/>
      <c r="H727" s="225"/>
      <c r="I727" s="225"/>
      <c r="J727" s="225"/>
      <c r="K727" s="225"/>
      <c r="L727" s="225"/>
      <c r="M727" s="225"/>
      <c r="N727" s="225"/>
      <c r="O727" s="225"/>
      <c r="P727" s="225"/>
      <c r="Q727" s="225"/>
      <c r="R727" s="225"/>
      <c r="S727" s="225"/>
      <c r="T727" s="225"/>
      <c r="U727" s="225"/>
      <c r="V727" s="225"/>
      <c r="W727" s="225"/>
      <c r="X727" s="225"/>
    </row>
    <row r="728" spans="1:24" ht="14.25" x14ac:dyDescent="0.2">
      <c r="A728" s="225"/>
      <c r="B728" s="225"/>
      <c r="C728" s="225"/>
      <c r="D728" s="225"/>
      <c r="E728" s="225"/>
      <c r="F728" s="225"/>
      <c r="G728" s="225"/>
      <c r="H728" s="225"/>
      <c r="I728" s="225"/>
      <c r="J728" s="225"/>
      <c r="K728" s="225"/>
      <c r="L728" s="225"/>
      <c r="M728" s="225"/>
      <c r="N728" s="225"/>
      <c r="O728" s="225"/>
      <c r="P728" s="225"/>
      <c r="Q728" s="225"/>
      <c r="R728" s="225"/>
      <c r="S728" s="225"/>
      <c r="T728" s="225"/>
      <c r="U728" s="225"/>
      <c r="V728" s="225"/>
      <c r="W728" s="225"/>
      <c r="X728" s="225"/>
    </row>
    <row r="729" spans="1:24" ht="14.25" x14ac:dyDescent="0.2">
      <c r="A729" s="225"/>
      <c r="B729" s="225"/>
      <c r="C729" s="225"/>
      <c r="D729" s="225"/>
      <c r="E729" s="225"/>
      <c r="F729" s="225"/>
      <c r="G729" s="225"/>
      <c r="H729" s="225"/>
      <c r="I729" s="225"/>
      <c r="J729" s="225"/>
      <c r="K729" s="225"/>
      <c r="L729" s="225"/>
      <c r="M729" s="225"/>
      <c r="N729" s="225"/>
      <c r="O729" s="225"/>
      <c r="P729" s="225"/>
      <c r="Q729" s="225"/>
      <c r="R729" s="225"/>
      <c r="S729" s="225"/>
      <c r="T729" s="225"/>
      <c r="U729" s="225"/>
      <c r="V729" s="225"/>
      <c r="W729" s="225"/>
      <c r="X729" s="225"/>
    </row>
    <row r="730" spans="1:24" ht="14.25" x14ac:dyDescent="0.2">
      <c r="A730" s="225"/>
      <c r="B730" s="225"/>
      <c r="C730" s="225"/>
      <c r="D730" s="225"/>
      <c r="E730" s="225"/>
      <c r="F730" s="225"/>
      <c r="G730" s="225"/>
      <c r="H730" s="225"/>
      <c r="I730" s="225"/>
      <c r="J730" s="225"/>
      <c r="K730" s="225"/>
      <c r="L730" s="225"/>
      <c r="M730" s="225"/>
      <c r="N730" s="225"/>
      <c r="O730" s="225"/>
      <c r="P730" s="225"/>
      <c r="Q730" s="225"/>
      <c r="R730" s="225"/>
      <c r="S730" s="225"/>
      <c r="T730" s="225"/>
      <c r="U730" s="225"/>
      <c r="V730" s="225"/>
      <c r="W730" s="225"/>
      <c r="X730" s="225"/>
    </row>
    <row r="731" spans="1:24" ht="14.25" x14ac:dyDescent="0.2">
      <c r="A731" s="225"/>
      <c r="B731" s="225"/>
      <c r="C731" s="225"/>
      <c r="D731" s="225"/>
      <c r="E731" s="225"/>
      <c r="F731" s="225"/>
      <c r="G731" s="225"/>
      <c r="H731" s="225"/>
      <c r="I731" s="225"/>
      <c r="J731" s="225"/>
      <c r="K731" s="225"/>
      <c r="L731" s="225"/>
      <c r="M731" s="225"/>
      <c r="N731" s="225"/>
      <c r="O731" s="225"/>
      <c r="P731" s="225"/>
      <c r="Q731" s="225"/>
      <c r="R731" s="225"/>
      <c r="S731" s="225"/>
      <c r="T731" s="225"/>
      <c r="U731" s="225"/>
      <c r="V731" s="225"/>
      <c r="W731" s="225"/>
      <c r="X731" s="225"/>
    </row>
    <row r="732" spans="1:24" ht="14.25" x14ac:dyDescent="0.2">
      <c r="A732" s="225"/>
      <c r="B732" s="225"/>
      <c r="C732" s="225"/>
      <c r="D732" s="225"/>
      <c r="E732" s="225"/>
      <c r="F732" s="225"/>
      <c r="G732" s="225"/>
      <c r="H732" s="225"/>
      <c r="I732" s="225"/>
      <c r="J732" s="225"/>
      <c r="K732" s="225"/>
      <c r="L732" s="225"/>
      <c r="M732" s="225"/>
      <c r="N732" s="225"/>
      <c r="O732" s="225"/>
      <c r="P732" s="225"/>
      <c r="Q732" s="225"/>
      <c r="R732" s="225"/>
      <c r="S732" s="225"/>
      <c r="T732" s="225"/>
      <c r="U732" s="225"/>
      <c r="V732" s="225"/>
      <c r="W732" s="225"/>
      <c r="X732" s="225"/>
    </row>
    <row r="733" spans="1:24" ht="14.25" x14ac:dyDescent="0.2">
      <c r="A733" s="225"/>
      <c r="B733" s="225"/>
      <c r="C733" s="225"/>
      <c r="D733" s="225"/>
      <c r="E733" s="225"/>
      <c r="F733" s="225"/>
      <c r="G733" s="225"/>
      <c r="H733" s="225"/>
      <c r="I733" s="225"/>
      <c r="J733" s="225"/>
      <c r="K733" s="225"/>
      <c r="L733" s="225"/>
      <c r="M733" s="225"/>
      <c r="N733" s="225"/>
      <c r="O733" s="225"/>
      <c r="P733" s="225"/>
      <c r="Q733" s="225"/>
      <c r="R733" s="225"/>
      <c r="S733" s="225"/>
      <c r="T733" s="225"/>
      <c r="U733" s="225"/>
      <c r="V733" s="225"/>
      <c r="W733" s="225"/>
      <c r="X733" s="225"/>
    </row>
    <row r="734" spans="1:24" ht="14.25" x14ac:dyDescent="0.2">
      <c r="A734" s="225"/>
      <c r="B734" s="225"/>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row>
    <row r="735" spans="1:24" ht="14.25" x14ac:dyDescent="0.2">
      <c r="A735" s="225"/>
      <c r="B735" s="225"/>
      <c r="C735" s="225"/>
      <c r="D735" s="225"/>
      <c r="E735" s="225"/>
      <c r="F735" s="225"/>
      <c r="G735" s="225"/>
      <c r="H735" s="225"/>
      <c r="I735" s="225"/>
      <c r="J735" s="225"/>
      <c r="K735" s="225"/>
      <c r="L735" s="225"/>
      <c r="M735" s="225"/>
      <c r="N735" s="225"/>
      <c r="O735" s="225"/>
      <c r="P735" s="225"/>
      <c r="Q735" s="225"/>
      <c r="R735" s="225"/>
      <c r="S735" s="225"/>
      <c r="T735" s="225"/>
      <c r="U735" s="225"/>
      <c r="V735" s="225"/>
      <c r="W735" s="225"/>
      <c r="X735" s="225"/>
    </row>
    <row r="736" spans="1:24" ht="14.25" x14ac:dyDescent="0.2">
      <c r="A736" s="225"/>
      <c r="B736" s="225"/>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row>
    <row r="737" spans="1:24" ht="14.25" x14ac:dyDescent="0.2">
      <c r="A737" s="225"/>
      <c r="B737" s="225"/>
      <c r="C737" s="225"/>
      <c r="D737" s="225"/>
      <c r="E737" s="225"/>
      <c r="F737" s="225"/>
      <c r="G737" s="225"/>
      <c r="H737" s="225"/>
      <c r="I737" s="225"/>
      <c r="J737" s="225"/>
      <c r="K737" s="225"/>
      <c r="L737" s="225"/>
      <c r="M737" s="225"/>
      <c r="N737" s="225"/>
      <c r="O737" s="225"/>
      <c r="P737" s="225"/>
      <c r="Q737" s="225"/>
      <c r="R737" s="225"/>
      <c r="S737" s="225"/>
      <c r="T737" s="225"/>
      <c r="U737" s="225"/>
      <c r="V737" s="225"/>
      <c r="W737" s="225"/>
      <c r="X737" s="225"/>
    </row>
    <row r="738" spans="1:24" ht="14.25" x14ac:dyDescent="0.2">
      <c r="A738" s="225"/>
      <c r="B738" s="225"/>
      <c r="C738" s="225"/>
      <c r="D738" s="225"/>
      <c r="E738" s="225"/>
      <c r="F738" s="225"/>
      <c r="G738" s="225"/>
      <c r="H738" s="225"/>
      <c r="I738" s="225"/>
      <c r="J738" s="225"/>
      <c r="K738" s="225"/>
      <c r="L738" s="225"/>
      <c r="M738" s="225"/>
      <c r="N738" s="225"/>
      <c r="O738" s="225"/>
      <c r="P738" s="225"/>
      <c r="Q738" s="225"/>
      <c r="R738" s="225"/>
      <c r="S738" s="225"/>
      <c r="T738" s="225"/>
      <c r="U738" s="225"/>
      <c r="V738" s="225"/>
      <c r="W738" s="225"/>
      <c r="X738" s="225"/>
    </row>
    <row r="739" spans="1:24" ht="14.25" x14ac:dyDescent="0.2">
      <c r="A739" s="225"/>
      <c r="B739" s="225"/>
      <c r="C739" s="225"/>
      <c r="D739" s="225"/>
      <c r="E739" s="225"/>
      <c r="F739" s="225"/>
      <c r="G739" s="225"/>
      <c r="H739" s="225"/>
      <c r="I739" s="225"/>
      <c r="J739" s="225"/>
      <c r="K739" s="225"/>
      <c r="L739" s="225"/>
      <c r="M739" s="225"/>
      <c r="N739" s="225"/>
      <c r="O739" s="225"/>
      <c r="P739" s="225"/>
      <c r="Q739" s="225"/>
      <c r="R739" s="225"/>
      <c r="S739" s="225"/>
      <c r="T739" s="225"/>
      <c r="U739" s="225"/>
      <c r="V739" s="225"/>
      <c r="W739" s="225"/>
      <c r="X739" s="225"/>
    </row>
    <row r="740" spans="1:24" ht="14.25" x14ac:dyDescent="0.2">
      <c r="A740" s="225"/>
      <c r="B740" s="225"/>
      <c r="C740" s="225"/>
      <c r="D740" s="225"/>
      <c r="E740" s="225"/>
      <c r="F740" s="225"/>
      <c r="G740" s="225"/>
      <c r="H740" s="225"/>
      <c r="I740" s="225"/>
      <c r="J740" s="225"/>
      <c r="K740" s="225"/>
      <c r="L740" s="225"/>
      <c r="M740" s="225"/>
      <c r="N740" s="225"/>
      <c r="O740" s="225"/>
      <c r="P740" s="225"/>
      <c r="Q740" s="225"/>
      <c r="R740" s="225"/>
      <c r="S740" s="225"/>
      <c r="T740" s="225"/>
      <c r="U740" s="225"/>
      <c r="V740" s="225"/>
      <c r="W740" s="225"/>
      <c r="X740" s="225"/>
    </row>
    <row r="741" spans="1:24" ht="14.25" x14ac:dyDescent="0.2">
      <c r="A741" s="225"/>
      <c r="B741" s="225"/>
      <c r="C741" s="225"/>
      <c r="D741" s="225"/>
      <c r="E741" s="225"/>
      <c r="F741" s="225"/>
      <c r="G741" s="225"/>
      <c r="H741" s="225"/>
      <c r="I741" s="225"/>
      <c r="J741" s="225"/>
      <c r="K741" s="225"/>
      <c r="L741" s="225"/>
      <c r="M741" s="225"/>
      <c r="N741" s="225"/>
      <c r="O741" s="225"/>
      <c r="P741" s="225"/>
      <c r="Q741" s="225"/>
      <c r="R741" s="225"/>
      <c r="S741" s="225"/>
      <c r="T741" s="225"/>
      <c r="U741" s="225"/>
      <c r="V741" s="225"/>
      <c r="W741" s="225"/>
      <c r="X741" s="225"/>
    </row>
    <row r="742" spans="1:24" ht="14.25" x14ac:dyDescent="0.2">
      <c r="A742" s="225"/>
      <c r="B742" s="225"/>
      <c r="C742" s="225"/>
      <c r="D742" s="225"/>
      <c r="E742" s="225"/>
      <c r="F742" s="225"/>
      <c r="G742" s="225"/>
      <c r="H742" s="225"/>
      <c r="I742" s="225"/>
      <c r="J742" s="225"/>
      <c r="K742" s="225"/>
      <c r="L742" s="225"/>
      <c r="M742" s="225"/>
      <c r="N742" s="225"/>
      <c r="O742" s="225"/>
      <c r="P742" s="225"/>
      <c r="Q742" s="225"/>
      <c r="R742" s="225"/>
      <c r="S742" s="225"/>
      <c r="T742" s="225"/>
      <c r="U742" s="225"/>
      <c r="V742" s="225"/>
      <c r="W742" s="225"/>
      <c r="X742" s="225"/>
    </row>
    <row r="743" spans="1:24" ht="14.25" x14ac:dyDescent="0.2">
      <c r="A743" s="225"/>
      <c r="B743" s="225"/>
      <c r="C743" s="225"/>
      <c r="D743" s="225"/>
      <c r="E743" s="225"/>
      <c r="F743" s="225"/>
      <c r="G743" s="225"/>
      <c r="H743" s="225"/>
      <c r="I743" s="225"/>
      <c r="J743" s="225"/>
      <c r="K743" s="225"/>
      <c r="L743" s="225"/>
      <c r="M743" s="225"/>
      <c r="N743" s="225"/>
      <c r="O743" s="225"/>
      <c r="P743" s="225"/>
      <c r="Q743" s="225"/>
      <c r="R743" s="225"/>
      <c r="S743" s="225"/>
      <c r="T743" s="225"/>
      <c r="U743" s="225"/>
      <c r="V743" s="225"/>
      <c r="W743" s="225"/>
      <c r="X743" s="225"/>
    </row>
    <row r="744" spans="1:24" ht="14.25" x14ac:dyDescent="0.2">
      <c r="A744" s="225"/>
      <c r="B744" s="225"/>
      <c r="C744" s="225"/>
      <c r="D744" s="225"/>
      <c r="E744" s="225"/>
      <c r="F744" s="225"/>
      <c r="G744" s="225"/>
      <c r="H744" s="225"/>
      <c r="I744" s="225"/>
      <c r="J744" s="225"/>
      <c r="K744" s="225"/>
      <c r="L744" s="225"/>
      <c r="M744" s="225"/>
      <c r="N744" s="225"/>
      <c r="O744" s="225"/>
      <c r="P744" s="225"/>
      <c r="Q744" s="225"/>
      <c r="R744" s="225"/>
      <c r="S744" s="225"/>
      <c r="T744" s="225"/>
      <c r="U744" s="225"/>
      <c r="V744" s="225"/>
      <c r="W744" s="225"/>
      <c r="X744" s="225"/>
    </row>
    <row r="745" spans="1:24" ht="14.25" x14ac:dyDescent="0.2">
      <c r="A745" s="225"/>
      <c r="B745" s="225"/>
      <c r="C745" s="225"/>
      <c r="D745" s="225"/>
      <c r="E745" s="225"/>
      <c r="F745" s="225"/>
      <c r="G745" s="225"/>
      <c r="H745" s="225"/>
      <c r="I745" s="225"/>
      <c r="J745" s="225"/>
      <c r="K745" s="225"/>
      <c r="L745" s="225"/>
      <c r="M745" s="225"/>
      <c r="N745" s="225"/>
      <c r="O745" s="225"/>
      <c r="P745" s="225"/>
      <c r="Q745" s="225"/>
      <c r="R745" s="225"/>
      <c r="S745" s="225"/>
      <c r="T745" s="225"/>
      <c r="U745" s="225"/>
      <c r="V745" s="225"/>
      <c r="W745" s="225"/>
      <c r="X745" s="225"/>
    </row>
    <row r="746" spans="1:24" ht="14.25" x14ac:dyDescent="0.2">
      <c r="A746" s="225"/>
      <c r="B746" s="225"/>
      <c r="C746" s="225"/>
      <c r="D746" s="225"/>
      <c r="E746" s="225"/>
      <c r="F746" s="225"/>
      <c r="G746" s="225"/>
      <c r="H746" s="225"/>
      <c r="I746" s="225"/>
      <c r="J746" s="225"/>
      <c r="K746" s="225"/>
      <c r="L746" s="225"/>
      <c r="M746" s="225"/>
      <c r="N746" s="225"/>
      <c r="O746" s="225"/>
      <c r="P746" s="225"/>
      <c r="Q746" s="225"/>
      <c r="R746" s="225"/>
      <c r="S746" s="225"/>
      <c r="T746" s="225"/>
      <c r="U746" s="225"/>
      <c r="V746" s="225"/>
      <c r="W746" s="225"/>
      <c r="X746" s="225"/>
    </row>
    <row r="747" spans="1:24" ht="14.25" x14ac:dyDescent="0.2">
      <c r="A747" s="225"/>
      <c r="B747" s="225"/>
      <c r="C747" s="225"/>
      <c r="D747" s="225"/>
      <c r="E747" s="225"/>
      <c r="F747" s="225"/>
      <c r="G747" s="225"/>
      <c r="H747" s="225"/>
      <c r="I747" s="225"/>
      <c r="J747" s="225"/>
      <c r="K747" s="225"/>
      <c r="L747" s="225"/>
      <c r="M747" s="225"/>
      <c r="N747" s="225"/>
      <c r="O747" s="225"/>
      <c r="P747" s="225"/>
      <c r="Q747" s="225"/>
      <c r="R747" s="225"/>
      <c r="S747" s="225"/>
      <c r="T747" s="225"/>
      <c r="U747" s="225"/>
      <c r="V747" s="225"/>
      <c r="W747" s="225"/>
      <c r="X747" s="225"/>
    </row>
    <row r="748" spans="1:24" ht="14.25" x14ac:dyDescent="0.2">
      <c r="A748" s="225"/>
      <c r="B748" s="225"/>
      <c r="C748" s="225"/>
      <c r="D748" s="225"/>
      <c r="E748" s="225"/>
      <c r="F748" s="225"/>
      <c r="G748" s="225"/>
      <c r="H748" s="225"/>
      <c r="I748" s="225"/>
      <c r="J748" s="225"/>
      <c r="K748" s="225"/>
      <c r="L748" s="225"/>
      <c r="M748" s="225"/>
      <c r="N748" s="225"/>
      <c r="O748" s="225"/>
      <c r="P748" s="225"/>
      <c r="Q748" s="225"/>
      <c r="R748" s="225"/>
      <c r="S748" s="225"/>
      <c r="T748" s="225"/>
      <c r="U748" s="225"/>
      <c r="V748" s="225"/>
      <c r="W748" s="225"/>
      <c r="X748" s="225"/>
    </row>
    <row r="749" spans="1:24" ht="14.25" x14ac:dyDescent="0.2">
      <c r="A749" s="225"/>
      <c r="B749" s="225"/>
      <c r="C749" s="225"/>
      <c r="D749" s="225"/>
      <c r="E749" s="225"/>
      <c r="F749" s="225"/>
      <c r="G749" s="225"/>
      <c r="H749" s="225"/>
      <c r="I749" s="225"/>
      <c r="J749" s="225"/>
      <c r="K749" s="225"/>
      <c r="L749" s="225"/>
      <c r="M749" s="225"/>
      <c r="N749" s="225"/>
      <c r="O749" s="225"/>
      <c r="P749" s="225"/>
      <c r="Q749" s="225"/>
      <c r="R749" s="225"/>
      <c r="S749" s="225"/>
      <c r="T749" s="225"/>
      <c r="U749" s="225"/>
      <c r="V749" s="225"/>
      <c r="W749" s="225"/>
      <c r="X749" s="225"/>
    </row>
    <row r="750" spans="1:24" ht="14.25" x14ac:dyDescent="0.2">
      <c r="A750" s="225"/>
      <c r="B750" s="225"/>
      <c r="C750" s="225"/>
      <c r="D750" s="225"/>
      <c r="E750" s="225"/>
      <c r="F750" s="225"/>
      <c r="G750" s="225"/>
      <c r="H750" s="225"/>
      <c r="I750" s="225"/>
      <c r="J750" s="225"/>
      <c r="K750" s="225"/>
      <c r="L750" s="225"/>
      <c r="M750" s="225"/>
      <c r="N750" s="225"/>
      <c r="O750" s="225"/>
      <c r="P750" s="225"/>
      <c r="Q750" s="225"/>
      <c r="R750" s="225"/>
      <c r="S750" s="225"/>
      <c r="T750" s="225"/>
      <c r="U750" s="225"/>
      <c r="V750" s="225"/>
      <c r="W750" s="225"/>
      <c r="X750" s="225"/>
    </row>
    <row r="751" spans="1:24" ht="14.25" x14ac:dyDescent="0.2">
      <c r="A751" s="225"/>
      <c r="B751" s="225"/>
      <c r="C751" s="225"/>
      <c r="D751" s="225"/>
      <c r="E751" s="225"/>
      <c r="F751" s="225"/>
      <c r="G751" s="225"/>
      <c r="H751" s="225"/>
      <c r="I751" s="225"/>
      <c r="J751" s="225"/>
      <c r="K751" s="225"/>
      <c r="L751" s="225"/>
      <c r="M751" s="225"/>
      <c r="N751" s="225"/>
      <c r="O751" s="225"/>
      <c r="P751" s="225"/>
      <c r="Q751" s="225"/>
      <c r="R751" s="225"/>
      <c r="S751" s="225"/>
      <c r="T751" s="225"/>
      <c r="U751" s="225"/>
      <c r="V751" s="225"/>
      <c r="W751" s="225"/>
      <c r="X751" s="225"/>
    </row>
    <row r="752" spans="1:24" ht="14.25" x14ac:dyDescent="0.2">
      <c r="A752" s="225"/>
      <c r="B752" s="225"/>
      <c r="C752" s="225"/>
      <c r="D752" s="225"/>
      <c r="E752" s="225"/>
      <c r="F752" s="225"/>
      <c r="G752" s="225"/>
      <c r="H752" s="225"/>
      <c r="I752" s="225"/>
      <c r="J752" s="225"/>
      <c r="K752" s="225"/>
      <c r="L752" s="225"/>
      <c r="M752" s="225"/>
      <c r="N752" s="225"/>
      <c r="O752" s="225"/>
      <c r="P752" s="225"/>
      <c r="Q752" s="225"/>
      <c r="R752" s="225"/>
      <c r="S752" s="225"/>
      <c r="T752" s="225"/>
      <c r="U752" s="225"/>
      <c r="V752" s="225"/>
      <c r="W752" s="225"/>
      <c r="X752" s="225"/>
    </row>
    <row r="753" spans="1:24" ht="14.25" x14ac:dyDescent="0.2">
      <c r="A753" s="225"/>
      <c r="B753" s="225"/>
      <c r="C753" s="225"/>
      <c r="D753" s="225"/>
      <c r="E753" s="225"/>
      <c r="F753" s="225"/>
      <c r="G753" s="225"/>
      <c r="H753" s="225"/>
      <c r="I753" s="225"/>
      <c r="J753" s="225"/>
      <c r="K753" s="225"/>
      <c r="L753" s="225"/>
      <c r="M753" s="225"/>
      <c r="N753" s="225"/>
      <c r="O753" s="225"/>
      <c r="P753" s="225"/>
      <c r="Q753" s="225"/>
      <c r="R753" s="225"/>
      <c r="S753" s="225"/>
      <c r="T753" s="225"/>
      <c r="U753" s="225"/>
      <c r="V753" s="225"/>
      <c r="W753" s="225"/>
      <c r="X753" s="225"/>
    </row>
    <row r="754" spans="1:24" ht="14.25" x14ac:dyDescent="0.2">
      <c r="A754" s="225"/>
      <c r="B754" s="225"/>
      <c r="C754" s="225"/>
      <c r="D754" s="225"/>
      <c r="E754" s="225"/>
      <c r="F754" s="225"/>
      <c r="G754" s="225"/>
      <c r="H754" s="225"/>
      <c r="I754" s="225"/>
      <c r="J754" s="225"/>
      <c r="K754" s="225"/>
      <c r="L754" s="225"/>
      <c r="M754" s="225"/>
      <c r="N754" s="225"/>
      <c r="O754" s="225"/>
      <c r="P754" s="225"/>
      <c r="Q754" s="225"/>
      <c r="R754" s="225"/>
      <c r="S754" s="225"/>
      <c r="T754" s="225"/>
      <c r="U754" s="225"/>
      <c r="V754" s="225"/>
      <c r="W754" s="225"/>
      <c r="X754" s="225"/>
    </row>
    <row r="755" spans="1:24" ht="14.25" x14ac:dyDescent="0.2">
      <c r="A755" s="225"/>
      <c r="B755" s="225"/>
      <c r="C755" s="225"/>
      <c r="D755" s="225"/>
      <c r="E755" s="225"/>
      <c r="F755" s="225"/>
      <c r="G755" s="225"/>
      <c r="H755" s="225"/>
      <c r="I755" s="225"/>
      <c r="J755" s="225"/>
      <c r="K755" s="225"/>
      <c r="L755" s="225"/>
      <c r="M755" s="225"/>
      <c r="N755" s="225"/>
      <c r="O755" s="225"/>
      <c r="P755" s="225"/>
      <c r="Q755" s="225"/>
      <c r="R755" s="225"/>
      <c r="S755" s="225"/>
      <c r="T755" s="225"/>
      <c r="U755" s="225"/>
      <c r="V755" s="225"/>
      <c r="W755" s="225"/>
      <c r="X755" s="225"/>
    </row>
    <row r="756" spans="1:24" ht="14.25" x14ac:dyDescent="0.2">
      <c r="A756" s="225"/>
      <c r="B756" s="225"/>
      <c r="C756" s="225"/>
      <c r="D756" s="225"/>
      <c r="E756" s="225"/>
      <c r="F756" s="225"/>
      <c r="G756" s="225"/>
      <c r="H756" s="225"/>
      <c r="I756" s="225"/>
      <c r="J756" s="225"/>
      <c r="K756" s="225"/>
      <c r="L756" s="225"/>
      <c r="M756" s="225"/>
      <c r="N756" s="225"/>
      <c r="O756" s="225"/>
      <c r="P756" s="225"/>
      <c r="Q756" s="225"/>
      <c r="R756" s="225"/>
      <c r="S756" s="225"/>
      <c r="T756" s="225"/>
      <c r="U756" s="225"/>
      <c r="V756" s="225"/>
      <c r="W756" s="225"/>
      <c r="X756" s="225"/>
    </row>
    <row r="757" spans="1:24" ht="14.25" x14ac:dyDescent="0.2">
      <c r="A757" s="225"/>
      <c r="B757" s="225"/>
      <c r="C757" s="225"/>
      <c r="D757" s="225"/>
      <c r="E757" s="225"/>
      <c r="F757" s="225"/>
      <c r="G757" s="225"/>
      <c r="H757" s="225"/>
      <c r="I757" s="225"/>
      <c r="J757" s="225"/>
      <c r="K757" s="225"/>
      <c r="L757" s="225"/>
      <c r="M757" s="225"/>
      <c r="N757" s="225"/>
      <c r="O757" s="225"/>
      <c r="P757" s="225"/>
      <c r="Q757" s="225"/>
      <c r="R757" s="225"/>
      <c r="S757" s="225"/>
      <c r="T757" s="225"/>
      <c r="U757" s="225"/>
      <c r="V757" s="225"/>
      <c r="W757" s="225"/>
      <c r="X757" s="225"/>
    </row>
    <row r="758" spans="1:24" ht="14.25" x14ac:dyDescent="0.2">
      <c r="A758" s="225"/>
      <c r="B758" s="225"/>
      <c r="C758" s="225"/>
      <c r="D758" s="225"/>
      <c r="E758" s="225"/>
      <c r="F758" s="225"/>
      <c r="G758" s="225"/>
      <c r="H758" s="225"/>
      <c r="I758" s="225"/>
      <c r="J758" s="225"/>
      <c r="K758" s="225"/>
      <c r="L758" s="225"/>
      <c r="M758" s="225"/>
      <c r="N758" s="225"/>
      <c r="O758" s="225"/>
      <c r="P758" s="225"/>
      <c r="Q758" s="225"/>
      <c r="R758" s="225"/>
      <c r="S758" s="225"/>
      <c r="T758" s="225"/>
      <c r="U758" s="225"/>
      <c r="V758" s="225"/>
      <c r="W758" s="225"/>
      <c r="X758" s="225"/>
    </row>
    <row r="759" spans="1:24" ht="14.25" x14ac:dyDescent="0.2">
      <c r="A759" s="225"/>
      <c r="B759" s="225"/>
      <c r="C759" s="225"/>
      <c r="D759" s="225"/>
      <c r="E759" s="225"/>
      <c r="F759" s="225"/>
      <c r="G759" s="225"/>
      <c r="H759" s="225"/>
      <c r="I759" s="225"/>
      <c r="J759" s="225"/>
      <c r="K759" s="225"/>
      <c r="L759" s="225"/>
      <c r="M759" s="225"/>
      <c r="N759" s="225"/>
      <c r="O759" s="225"/>
      <c r="P759" s="225"/>
      <c r="Q759" s="225"/>
      <c r="R759" s="225"/>
      <c r="S759" s="225"/>
      <c r="T759" s="225"/>
      <c r="U759" s="225"/>
      <c r="V759" s="225"/>
      <c r="W759" s="225"/>
      <c r="X759" s="225"/>
    </row>
    <row r="760" spans="1:24" ht="14.25" x14ac:dyDescent="0.2">
      <c r="A760" s="225"/>
      <c r="B760" s="225"/>
      <c r="C760" s="225"/>
      <c r="D760" s="225"/>
      <c r="E760" s="225"/>
      <c r="F760" s="225"/>
      <c r="G760" s="225"/>
      <c r="H760" s="225"/>
      <c r="I760" s="225"/>
      <c r="J760" s="225"/>
      <c r="K760" s="225"/>
      <c r="L760" s="225"/>
      <c r="M760" s="225"/>
      <c r="N760" s="225"/>
      <c r="O760" s="225"/>
      <c r="P760" s="225"/>
      <c r="Q760" s="225"/>
      <c r="R760" s="225"/>
      <c r="S760" s="225"/>
      <c r="T760" s="225"/>
      <c r="U760" s="225"/>
      <c r="V760" s="225"/>
      <c r="W760" s="225"/>
      <c r="X760" s="225"/>
    </row>
    <row r="761" spans="1:24" ht="14.25" x14ac:dyDescent="0.2">
      <c r="A761" s="225"/>
      <c r="B761" s="225"/>
      <c r="C761" s="225"/>
      <c r="D761" s="225"/>
      <c r="E761" s="225"/>
      <c r="F761" s="225"/>
      <c r="G761" s="225"/>
      <c r="H761" s="225"/>
      <c r="I761" s="225"/>
      <c r="J761" s="225"/>
      <c r="K761" s="225"/>
      <c r="L761" s="225"/>
      <c r="M761" s="225"/>
      <c r="N761" s="225"/>
      <c r="O761" s="225"/>
      <c r="P761" s="225"/>
      <c r="Q761" s="225"/>
      <c r="R761" s="225"/>
      <c r="S761" s="225"/>
      <c r="T761" s="225"/>
      <c r="U761" s="225"/>
      <c r="V761" s="225"/>
      <c r="W761" s="225"/>
      <c r="X761" s="225"/>
    </row>
    <row r="762" spans="1:24" ht="14.25" x14ac:dyDescent="0.2">
      <c r="A762" s="225"/>
      <c r="B762" s="225"/>
      <c r="C762" s="225"/>
      <c r="D762" s="225"/>
      <c r="E762" s="225"/>
      <c r="F762" s="225"/>
      <c r="G762" s="225"/>
      <c r="H762" s="225"/>
      <c r="I762" s="225"/>
      <c r="J762" s="225"/>
      <c r="K762" s="225"/>
      <c r="L762" s="225"/>
      <c r="M762" s="225"/>
      <c r="N762" s="225"/>
      <c r="O762" s="225"/>
      <c r="P762" s="225"/>
      <c r="Q762" s="225"/>
      <c r="R762" s="225"/>
      <c r="S762" s="225"/>
      <c r="T762" s="225"/>
      <c r="U762" s="225"/>
      <c r="V762" s="225"/>
      <c r="W762" s="225"/>
      <c r="X762" s="225"/>
    </row>
    <row r="763" spans="1:24" ht="14.25" x14ac:dyDescent="0.2">
      <c r="A763" s="225"/>
      <c r="B763" s="225"/>
      <c r="C763" s="225"/>
      <c r="D763" s="225"/>
      <c r="E763" s="225"/>
      <c r="F763" s="225"/>
      <c r="G763" s="225"/>
      <c r="H763" s="225"/>
      <c r="I763" s="225"/>
      <c r="J763" s="225"/>
      <c r="K763" s="225"/>
      <c r="L763" s="225"/>
      <c r="M763" s="225"/>
      <c r="N763" s="225"/>
      <c r="O763" s="225"/>
      <c r="P763" s="225"/>
      <c r="Q763" s="225"/>
      <c r="R763" s="225"/>
      <c r="S763" s="225"/>
      <c r="T763" s="225"/>
      <c r="U763" s="225"/>
      <c r="V763" s="225"/>
      <c r="W763" s="225"/>
      <c r="X763" s="225"/>
    </row>
    <row r="764" spans="1:24" ht="14.25" x14ac:dyDescent="0.2">
      <c r="A764" s="225"/>
      <c r="B764" s="225"/>
      <c r="C764" s="225"/>
      <c r="D764" s="225"/>
      <c r="E764" s="225"/>
      <c r="F764" s="225"/>
      <c r="G764" s="225"/>
      <c r="H764" s="225"/>
      <c r="I764" s="225"/>
      <c r="J764" s="225"/>
      <c r="K764" s="225"/>
      <c r="L764" s="225"/>
      <c r="M764" s="225"/>
      <c r="N764" s="225"/>
      <c r="O764" s="225"/>
      <c r="P764" s="225"/>
      <c r="Q764" s="225"/>
      <c r="R764" s="225"/>
      <c r="S764" s="225"/>
      <c r="T764" s="225"/>
      <c r="U764" s="225"/>
      <c r="V764" s="225"/>
      <c r="W764" s="225"/>
      <c r="X764" s="225"/>
    </row>
    <row r="765" spans="1:24" ht="14.25" x14ac:dyDescent="0.2">
      <c r="A765" s="225"/>
      <c r="B765" s="225"/>
      <c r="C765" s="225"/>
      <c r="D765" s="225"/>
      <c r="E765" s="225"/>
      <c r="F765" s="225"/>
      <c r="G765" s="225"/>
      <c r="H765" s="225"/>
      <c r="I765" s="225"/>
      <c r="J765" s="225"/>
      <c r="K765" s="225"/>
      <c r="L765" s="225"/>
      <c r="M765" s="225"/>
      <c r="N765" s="225"/>
      <c r="O765" s="225"/>
      <c r="P765" s="225"/>
      <c r="Q765" s="225"/>
      <c r="R765" s="225"/>
      <c r="S765" s="225"/>
      <c r="T765" s="225"/>
      <c r="U765" s="225"/>
      <c r="V765" s="225"/>
      <c r="W765" s="225"/>
      <c r="X765" s="225"/>
    </row>
    <row r="766" spans="1:24" ht="14.25" x14ac:dyDescent="0.2">
      <c r="A766" s="225"/>
      <c r="B766" s="225"/>
      <c r="C766" s="225"/>
      <c r="D766" s="225"/>
      <c r="E766" s="225"/>
      <c r="F766" s="225"/>
      <c r="G766" s="225"/>
      <c r="H766" s="225"/>
      <c r="I766" s="225"/>
      <c r="J766" s="225"/>
      <c r="K766" s="225"/>
      <c r="L766" s="225"/>
      <c r="M766" s="225"/>
      <c r="N766" s="225"/>
      <c r="O766" s="225"/>
      <c r="P766" s="225"/>
      <c r="Q766" s="225"/>
      <c r="R766" s="225"/>
      <c r="S766" s="225"/>
      <c r="T766" s="225"/>
      <c r="U766" s="225"/>
      <c r="V766" s="225"/>
      <c r="W766" s="225"/>
      <c r="X766" s="225"/>
    </row>
    <row r="767" spans="1:24" ht="14.25" x14ac:dyDescent="0.2">
      <c r="A767" s="225"/>
      <c r="B767" s="225"/>
      <c r="C767" s="225"/>
      <c r="D767" s="225"/>
      <c r="E767" s="225"/>
      <c r="F767" s="225"/>
      <c r="G767" s="225"/>
      <c r="H767" s="225"/>
      <c r="I767" s="225"/>
      <c r="J767" s="225"/>
      <c r="K767" s="225"/>
      <c r="L767" s="225"/>
      <c r="M767" s="225"/>
      <c r="N767" s="225"/>
      <c r="O767" s="225"/>
      <c r="P767" s="225"/>
      <c r="Q767" s="225"/>
      <c r="R767" s="225"/>
      <c r="S767" s="225"/>
      <c r="T767" s="225"/>
      <c r="U767" s="225"/>
      <c r="V767" s="225"/>
      <c r="W767" s="225"/>
      <c r="X767" s="225"/>
    </row>
    <row r="768" spans="1:24" ht="14.25" x14ac:dyDescent="0.2">
      <c r="A768" s="225"/>
      <c r="B768" s="225"/>
      <c r="C768" s="225"/>
      <c r="D768" s="225"/>
      <c r="E768" s="225"/>
      <c r="F768" s="225"/>
      <c r="G768" s="225"/>
      <c r="H768" s="225"/>
      <c r="I768" s="225"/>
      <c r="J768" s="225"/>
      <c r="K768" s="225"/>
      <c r="L768" s="225"/>
      <c r="M768" s="225"/>
      <c r="N768" s="225"/>
      <c r="O768" s="225"/>
      <c r="P768" s="225"/>
      <c r="Q768" s="225"/>
      <c r="R768" s="225"/>
      <c r="S768" s="225"/>
      <c r="T768" s="225"/>
      <c r="U768" s="225"/>
      <c r="V768" s="225"/>
      <c r="W768" s="225"/>
      <c r="X768" s="225"/>
    </row>
    <row r="769" spans="1:24" ht="14.25" x14ac:dyDescent="0.2">
      <c r="A769" s="225"/>
      <c r="B769" s="225"/>
      <c r="C769" s="225"/>
      <c r="D769" s="225"/>
      <c r="E769" s="225"/>
      <c r="F769" s="225"/>
      <c r="G769" s="225"/>
      <c r="H769" s="225"/>
      <c r="I769" s="225"/>
      <c r="J769" s="225"/>
      <c r="K769" s="225"/>
      <c r="L769" s="225"/>
      <c r="M769" s="225"/>
      <c r="N769" s="225"/>
      <c r="O769" s="225"/>
      <c r="P769" s="225"/>
      <c r="Q769" s="225"/>
      <c r="R769" s="225"/>
      <c r="S769" s="225"/>
      <c r="T769" s="225"/>
      <c r="U769" s="225"/>
      <c r="V769" s="225"/>
      <c r="W769" s="225"/>
      <c r="X769" s="225"/>
    </row>
    <row r="770" spans="1:24" ht="14.25" x14ac:dyDescent="0.2">
      <c r="A770" s="225"/>
      <c r="B770" s="225"/>
      <c r="C770" s="225"/>
      <c r="D770" s="225"/>
      <c r="E770" s="225"/>
      <c r="F770" s="225"/>
      <c r="G770" s="225"/>
      <c r="H770" s="225"/>
      <c r="I770" s="225"/>
      <c r="J770" s="225"/>
      <c r="K770" s="225"/>
      <c r="L770" s="225"/>
      <c r="M770" s="225"/>
      <c r="N770" s="225"/>
      <c r="O770" s="225"/>
      <c r="P770" s="225"/>
      <c r="Q770" s="225"/>
      <c r="R770" s="225"/>
      <c r="S770" s="225"/>
      <c r="T770" s="225"/>
      <c r="U770" s="225"/>
      <c r="V770" s="225"/>
      <c r="W770" s="225"/>
      <c r="X770" s="225"/>
    </row>
    <row r="771" spans="1:24" ht="14.25" x14ac:dyDescent="0.2">
      <c r="A771" s="225"/>
      <c r="B771" s="225"/>
      <c r="C771" s="225"/>
      <c r="D771" s="225"/>
      <c r="E771" s="225"/>
      <c r="F771" s="225"/>
      <c r="G771" s="225"/>
      <c r="H771" s="225"/>
      <c r="I771" s="225"/>
      <c r="J771" s="225"/>
      <c r="K771" s="225"/>
      <c r="L771" s="225"/>
      <c r="M771" s="225"/>
      <c r="N771" s="225"/>
      <c r="O771" s="225"/>
      <c r="P771" s="225"/>
      <c r="Q771" s="225"/>
      <c r="R771" s="225"/>
      <c r="S771" s="225"/>
      <c r="T771" s="225"/>
      <c r="U771" s="225"/>
      <c r="V771" s="225"/>
      <c r="W771" s="225"/>
      <c r="X771" s="225"/>
    </row>
    <row r="772" spans="1:24" ht="14.25" x14ac:dyDescent="0.2">
      <c r="A772" s="225"/>
      <c r="B772" s="225"/>
      <c r="C772" s="225"/>
      <c r="D772" s="225"/>
      <c r="E772" s="225"/>
      <c r="F772" s="225"/>
      <c r="G772" s="225"/>
      <c r="H772" s="225"/>
      <c r="I772" s="225"/>
      <c r="J772" s="225"/>
      <c r="K772" s="225"/>
      <c r="L772" s="225"/>
      <c r="M772" s="225"/>
      <c r="N772" s="225"/>
      <c r="O772" s="225"/>
      <c r="P772" s="225"/>
      <c r="Q772" s="225"/>
      <c r="R772" s="225"/>
      <c r="S772" s="225"/>
      <c r="T772" s="225"/>
      <c r="U772" s="225"/>
      <c r="V772" s="225"/>
      <c r="W772" s="225"/>
      <c r="X772" s="225"/>
    </row>
    <row r="773" spans="1:24" ht="14.25" x14ac:dyDescent="0.2">
      <c r="A773" s="225"/>
      <c r="B773" s="225"/>
      <c r="C773" s="225"/>
      <c r="D773" s="225"/>
      <c r="E773" s="225"/>
      <c r="F773" s="225"/>
      <c r="G773" s="225"/>
      <c r="H773" s="225"/>
      <c r="I773" s="225"/>
      <c r="J773" s="225"/>
      <c r="K773" s="225"/>
      <c r="L773" s="225"/>
      <c r="M773" s="225"/>
      <c r="N773" s="225"/>
      <c r="O773" s="225"/>
      <c r="P773" s="225"/>
      <c r="Q773" s="225"/>
      <c r="R773" s="225"/>
      <c r="S773" s="225"/>
      <c r="T773" s="225"/>
      <c r="U773" s="225"/>
      <c r="V773" s="225"/>
      <c r="W773" s="225"/>
      <c r="X773" s="225"/>
    </row>
    <row r="774" spans="1:24" ht="14.25" x14ac:dyDescent="0.2">
      <c r="A774" s="225"/>
      <c r="B774" s="225"/>
      <c r="C774" s="225"/>
      <c r="D774" s="225"/>
      <c r="E774" s="225"/>
      <c r="F774" s="225"/>
      <c r="G774" s="225"/>
      <c r="H774" s="225"/>
      <c r="I774" s="225"/>
      <c r="J774" s="225"/>
      <c r="K774" s="225"/>
      <c r="L774" s="225"/>
      <c r="M774" s="225"/>
      <c r="N774" s="225"/>
      <c r="O774" s="225"/>
      <c r="P774" s="225"/>
      <c r="Q774" s="225"/>
      <c r="R774" s="225"/>
      <c r="S774" s="225"/>
      <c r="T774" s="225"/>
      <c r="U774" s="225"/>
      <c r="V774" s="225"/>
      <c r="W774" s="225"/>
      <c r="X774" s="225"/>
    </row>
    <row r="775" spans="1:24" ht="14.25" x14ac:dyDescent="0.2">
      <c r="A775" s="225"/>
      <c r="B775" s="225"/>
      <c r="C775" s="225"/>
      <c r="D775" s="225"/>
      <c r="E775" s="225"/>
      <c r="F775" s="225"/>
      <c r="G775" s="225"/>
      <c r="H775" s="225"/>
      <c r="I775" s="225"/>
      <c r="J775" s="225"/>
      <c r="K775" s="225"/>
      <c r="L775" s="225"/>
      <c r="M775" s="225"/>
      <c r="N775" s="225"/>
      <c r="O775" s="225"/>
      <c r="P775" s="225"/>
      <c r="Q775" s="225"/>
      <c r="R775" s="225"/>
      <c r="S775" s="225"/>
      <c r="T775" s="225"/>
      <c r="U775" s="225"/>
      <c r="V775" s="225"/>
      <c r="W775" s="225"/>
      <c r="X775" s="225"/>
    </row>
    <row r="776" spans="1:24" ht="14.25" x14ac:dyDescent="0.2">
      <c r="A776" s="225"/>
      <c r="B776" s="225"/>
      <c r="C776" s="225"/>
      <c r="D776" s="225"/>
      <c r="E776" s="225"/>
      <c r="F776" s="225"/>
      <c r="G776" s="225"/>
      <c r="H776" s="225"/>
      <c r="I776" s="225"/>
      <c r="J776" s="225"/>
      <c r="K776" s="225"/>
      <c r="L776" s="225"/>
      <c r="M776" s="225"/>
      <c r="N776" s="225"/>
      <c r="O776" s="225"/>
      <c r="P776" s="225"/>
      <c r="Q776" s="225"/>
      <c r="R776" s="225"/>
      <c r="S776" s="225"/>
      <c r="T776" s="225"/>
      <c r="U776" s="225"/>
      <c r="V776" s="225"/>
      <c r="W776" s="225"/>
      <c r="X776" s="225"/>
    </row>
    <row r="777" spans="1:24" ht="14.25" x14ac:dyDescent="0.2">
      <c r="A777" s="225"/>
      <c r="B777" s="225"/>
      <c r="C777" s="225"/>
      <c r="D777" s="225"/>
      <c r="E777" s="225"/>
      <c r="F777" s="225"/>
      <c r="G777" s="225"/>
      <c r="H777" s="225"/>
      <c r="I777" s="225"/>
      <c r="J777" s="225"/>
      <c r="K777" s="225"/>
      <c r="L777" s="225"/>
      <c r="M777" s="225"/>
      <c r="N777" s="225"/>
      <c r="O777" s="225"/>
      <c r="P777" s="225"/>
      <c r="Q777" s="225"/>
      <c r="R777" s="225"/>
      <c r="S777" s="225"/>
      <c r="T777" s="225"/>
      <c r="U777" s="225"/>
      <c r="V777" s="225"/>
      <c r="W777" s="225"/>
      <c r="X777" s="225"/>
    </row>
    <row r="778" spans="1:24" ht="14.25" x14ac:dyDescent="0.2">
      <c r="A778" s="225"/>
      <c r="B778" s="225"/>
      <c r="C778" s="225"/>
      <c r="D778" s="225"/>
      <c r="E778" s="225"/>
      <c r="F778" s="225"/>
      <c r="G778" s="225"/>
      <c r="H778" s="225"/>
      <c r="I778" s="225"/>
      <c r="J778" s="225"/>
      <c r="K778" s="225"/>
      <c r="L778" s="225"/>
      <c r="M778" s="225"/>
      <c r="N778" s="225"/>
      <c r="O778" s="225"/>
      <c r="P778" s="225"/>
      <c r="Q778" s="225"/>
      <c r="R778" s="225"/>
      <c r="S778" s="225"/>
      <c r="T778" s="225"/>
      <c r="U778" s="225"/>
      <c r="V778" s="225"/>
      <c r="W778" s="225"/>
      <c r="X778" s="225"/>
    </row>
    <row r="779" spans="1:24" ht="14.25" x14ac:dyDescent="0.2">
      <c r="A779" s="225"/>
      <c r="B779" s="225"/>
      <c r="C779" s="225"/>
      <c r="D779" s="225"/>
      <c r="E779" s="225"/>
      <c r="F779" s="225"/>
      <c r="G779" s="225"/>
      <c r="H779" s="225"/>
      <c r="I779" s="225"/>
      <c r="J779" s="225"/>
      <c r="K779" s="225"/>
      <c r="L779" s="225"/>
      <c r="M779" s="225"/>
      <c r="N779" s="225"/>
      <c r="O779" s="225"/>
      <c r="P779" s="225"/>
      <c r="Q779" s="225"/>
      <c r="R779" s="225"/>
      <c r="S779" s="225"/>
      <c r="T779" s="225"/>
      <c r="U779" s="225"/>
      <c r="V779" s="225"/>
      <c r="W779" s="225"/>
      <c r="X779" s="225"/>
    </row>
    <row r="780" spans="1:24" ht="14.25" x14ac:dyDescent="0.2">
      <c r="A780" s="225"/>
      <c r="B780" s="225"/>
      <c r="C780" s="225"/>
      <c r="D780" s="225"/>
      <c r="E780" s="225"/>
      <c r="F780" s="225"/>
      <c r="G780" s="225"/>
      <c r="H780" s="225"/>
      <c r="I780" s="225"/>
      <c r="J780" s="225"/>
      <c r="K780" s="225"/>
      <c r="L780" s="225"/>
      <c r="M780" s="225"/>
      <c r="N780" s="225"/>
      <c r="O780" s="225"/>
      <c r="P780" s="225"/>
      <c r="Q780" s="225"/>
      <c r="R780" s="225"/>
      <c r="S780" s="225"/>
      <c r="T780" s="225"/>
      <c r="U780" s="225"/>
      <c r="V780" s="225"/>
      <c r="W780" s="225"/>
      <c r="X780" s="225"/>
    </row>
    <row r="781" spans="1:24" ht="14.25" x14ac:dyDescent="0.2">
      <c r="A781" s="225"/>
      <c r="B781" s="225"/>
      <c r="C781" s="225"/>
      <c r="D781" s="225"/>
      <c r="E781" s="225"/>
      <c r="F781" s="225"/>
      <c r="G781" s="225"/>
      <c r="H781" s="225"/>
      <c r="I781" s="225"/>
      <c r="J781" s="225"/>
      <c r="K781" s="225"/>
      <c r="L781" s="225"/>
      <c r="M781" s="225"/>
      <c r="N781" s="225"/>
      <c r="O781" s="225"/>
      <c r="P781" s="225"/>
      <c r="Q781" s="225"/>
      <c r="R781" s="225"/>
      <c r="S781" s="225"/>
      <c r="T781" s="225"/>
      <c r="U781" s="225"/>
      <c r="V781" s="225"/>
      <c r="W781" s="225"/>
      <c r="X781" s="225"/>
    </row>
    <row r="782" spans="1:24" ht="14.25" x14ac:dyDescent="0.2">
      <c r="A782" s="225"/>
      <c r="B782" s="225"/>
      <c r="C782" s="225"/>
      <c r="D782" s="225"/>
      <c r="E782" s="225"/>
      <c r="F782" s="225"/>
      <c r="G782" s="225"/>
      <c r="H782" s="225"/>
      <c r="I782" s="225"/>
      <c r="J782" s="225"/>
      <c r="K782" s="225"/>
      <c r="L782" s="225"/>
      <c r="M782" s="225"/>
      <c r="N782" s="225"/>
      <c r="O782" s="225"/>
      <c r="P782" s="225"/>
      <c r="Q782" s="225"/>
      <c r="R782" s="225"/>
      <c r="S782" s="225"/>
      <c r="T782" s="225"/>
      <c r="U782" s="225"/>
      <c r="V782" s="225"/>
      <c r="W782" s="225"/>
      <c r="X782" s="225"/>
    </row>
    <row r="783" spans="1:24" ht="14.25" x14ac:dyDescent="0.2">
      <c r="A783" s="225"/>
      <c r="B783" s="225"/>
      <c r="C783" s="225"/>
      <c r="D783" s="225"/>
      <c r="E783" s="225"/>
      <c r="F783" s="225"/>
      <c r="G783" s="225"/>
      <c r="H783" s="225"/>
      <c r="I783" s="225"/>
      <c r="J783" s="225"/>
      <c r="K783" s="225"/>
      <c r="L783" s="225"/>
      <c r="M783" s="225"/>
      <c r="N783" s="225"/>
      <c r="O783" s="225"/>
      <c r="P783" s="225"/>
      <c r="Q783" s="225"/>
      <c r="R783" s="225"/>
      <c r="S783" s="225"/>
      <c r="T783" s="225"/>
      <c r="U783" s="225"/>
      <c r="V783" s="225"/>
      <c r="W783" s="225"/>
      <c r="X783" s="225"/>
    </row>
    <row r="784" spans="1:24" ht="14.25" x14ac:dyDescent="0.2">
      <c r="A784" s="225"/>
      <c r="B784" s="225"/>
      <c r="C784" s="225"/>
      <c r="D784" s="225"/>
      <c r="E784" s="225"/>
      <c r="F784" s="225"/>
      <c r="G784" s="225"/>
      <c r="H784" s="225"/>
      <c r="I784" s="225"/>
      <c r="J784" s="225"/>
      <c r="K784" s="225"/>
      <c r="L784" s="225"/>
      <c r="M784" s="225"/>
      <c r="N784" s="225"/>
      <c r="O784" s="225"/>
      <c r="P784" s="225"/>
      <c r="Q784" s="225"/>
      <c r="R784" s="225"/>
      <c r="S784" s="225"/>
      <c r="T784" s="225"/>
      <c r="U784" s="225"/>
      <c r="V784" s="225"/>
      <c r="W784" s="225"/>
      <c r="X784" s="225"/>
    </row>
    <row r="785" spans="1:24" ht="14.25" x14ac:dyDescent="0.2">
      <c r="A785" s="225"/>
      <c r="B785" s="225"/>
      <c r="C785" s="225"/>
      <c r="D785" s="225"/>
      <c r="E785" s="225"/>
      <c r="F785" s="225"/>
      <c r="G785" s="225"/>
      <c r="H785" s="225"/>
      <c r="I785" s="225"/>
      <c r="J785" s="225"/>
      <c r="K785" s="225"/>
      <c r="L785" s="225"/>
      <c r="M785" s="225"/>
      <c r="N785" s="225"/>
      <c r="O785" s="225"/>
      <c r="P785" s="225"/>
      <c r="Q785" s="225"/>
      <c r="R785" s="225"/>
      <c r="S785" s="225"/>
      <c r="T785" s="225"/>
      <c r="U785" s="225"/>
      <c r="V785" s="225"/>
      <c r="W785" s="225"/>
      <c r="X785" s="225"/>
    </row>
    <row r="786" spans="1:24" ht="14.25" x14ac:dyDescent="0.2">
      <c r="A786" s="225"/>
      <c r="B786" s="225"/>
      <c r="C786" s="225"/>
      <c r="D786" s="225"/>
      <c r="E786" s="225"/>
      <c r="F786" s="225"/>
      <c r="G786" s="225"/>
      <c r="H786" s="225"/>
      <c r="I786" s="225"/>
      <c r="J786" s="225"/>
      <c r="K786" s="225"/>
      <c r="L786" s="225"/>
      <c r="M786" s="225"/>
      <c r="N786" s="225"/>
      <c r="O786" s="225"/>
      <c r="P786" s="225"/>
      <c r="Q786" s="225"/>
      <c r="R786" s="225"/>
      <c r="S786" s="225"/>
      <c r="T786" s="225"/>
      <c r="U786" s="225"/>
      <c r="V786" s="225"/>
      <c r="W786" s="225"/>
      <c r="X786" s="225"/>
    </row>
    <row r="787" spans="1:24" ht="14.25" x14ac:dyDescent="0.2">
      <c r="A787" s="225"/>
      <c r="B787" s="225"/>
      <c r="C787" s="225"/>
      <c r="D787" s="225"/>
      <c r="E787" s="225"/>
      <c r="F787" s="225"/>
      <c r="G787" s="225"/>
      <c r="H787" s="225"/>
      <c r="I787" s="225"/>
      <c r="J787" s="225"/>
      <c r="K787" s="225"/>
      <c r="L787" s="225"/>
      <c r="M787" s="225"/>
      <c r="N787" s="225"/>
      <c r="O787" s="225"/>
      <c r="P787" s="225"/>
      <c r="Q787" s="225"/>
      <c r="R787" s="225"/>
      <c r="S787" s="225"/>
      <c r="T787" s="225"/>
      <c r="U787" s="225"/>
      <c r="V787" s="225"/>
      <c r="W787" s="225"/>
      <c r="X787" s="225"/>
    </row>
    <row r="788" spans="1:24" ht="14.25" x14ac:dyDescent="0.2">
      <c r="A788" s="225"/>
      <c r="B788" s="225"/>
      <c r="C788" s="225"/>
      <c r="D788" s="225"/>
      <c r="E788" s="225"/>
      <c r="F788" s="225"/>
      <c r="G788" s="225"/>
      <c r="H788" s="225"/>
      <c r="I788" s="225"/>
      <c r="J788" s="225"/>
      <c r="K788" s="225"/>
      <c r="L788" s="225"/>
      <c r="M788" s="225"/>
      <c r="N788" s="225"/>
      <c r="O788" s="225"/>
      <c r="P788" s="225"/>
      <c r="Q788" s="225"/>
      <c r="R788" s="225"/>
      <c r="S788" s="225"/>
      <c r="T788" s="225"/>
      <c r="U788" s="225"/>
      <c r="V788" s="225"/>
      <c r="W788" s="225"/>
      <c r="X788" s="225"/>
    </row>
    <row r="789" spans="1:24" ht="14.25" x14ac:dyDescent="0.2">
      <c r="A789" s="225"/>
      <c r="B789" s="225"/>
      <c r="C789" s="225"/>
      <c r="D789" s="225"/>
      <c r="E789" s="225"/>
      <c r="F789" s="225"/>
      <c r="G789" s="225"/>
      <c r="H789" s="225"/>
      <c r="I789" s="225"/>
      <c r="J789" s="225"/>
      <c r="K789" s="225"/>
      <c r="L789" s="225"/>
      <c r="M789" s="225"/>
      <c r="N789" s="225"/>
      <c r="O789" s="225"/>
      <c r="P789" s="225"/>
      <c r="Q789" s="225"/>
      <c r="R789" s="225"/>
      <c r="S789" s="225"/>
      <c r="T789" s="225"/>
      <c r="U789" s="225"/>
      <c r="V789" s="225"/>
      <c r="W789" s="225"/>
      <c r="X789" s="225"/>
    </row>
    <row r="790" spans="1:24" ht="14.25" x14ac:dyDescent="0.2">
      <c r="A790" s="225"/>
      <c r="B790" s="225"/>
      <c r="C790" s="225"/>
      <c r="D790" s="225"/>
      <c r="E790" s="225"/>
      <c r="F790" s="225"/>
      <c r="G790" s="225"/>
      <c r="H790" s="225"/>
      <c r="I790" s="225"/>
      <c r="J790" s="225"/>
      <c r="K790" s="225"/>
      <c r="L790" s="225"/>
      <c r="M790" s="225"/>
      <c r="N790" s="225"/>
      <c r="O790" s="225"/>
      <c r="P790" s="225"/>
      <c r="Q790" s="225"/>
      <c r="R790" s="225"/>
      <c r="S790" s="225"/>
      <c r="T790" s="225"/>
      <c r="U790" s="225"/>
      <c r="V790" s="225"/>
      <c r="W790" s="225"/>
      <c r="X790" s="225"/>
    </row>
    <row r="791" spans="1:24" ht="14.25" x14ac:dyDescent="0.2">
      <c r="A791" s="225"/>
      <c r="B791" s="225"/>
      <c r="C791" s="225"/>
      <c r="D791" s="225"/>
      <c r="E791" s="225"/>
      <c r="F791" s="225"/>
      <c r="G791" s="225"/>
      <c r="H791" s="225"/>
      <c r="I791" s="225"/>
      <c r="J791" s="225"/>
      <c r="K791" s="225"/>
      <c r="L791" s="225"/>
      <c r="M791" s="225"/>
      <c r="N791" s="225"/>
      <c r="O791" s="225"/>
      <c r="P791" s="225"/>
      <c r="Q791" s="225"/>
      <c r="R791" s="225"/>
      <c r="S791" s="225"/>
      <c r="T791" s="225"/>
      <c r="U791" s="225"/>
      <c r="V791" s="225"/>
      <c r="W791" s="225"/>
      <c r="X791" s="225"/>
    </row>
    <row r="792" spans="1:24" ht="14.25" x14ac:dyDescent="0.2">
      <c r="A792" s="225"/>
      <c r="B792" s="225"/>
      <c r="C792" s="225"/>
      <c r="D792" s="225"/>
      <c r="E792" s="225"/>
      <c r="F792" s="225"/>
      <c r="G792" s="225"/>
      <c r="H792" s="225"/>
      <c r="I792" s="225"/>
      <c r="J792" s="225"/>
      <c r="K792" s="225"/>
      <c r="L792" s="225"/>
      <c r="M792" s="225"/>
      <c r="N792" s="225"/>
      <c r="O792" s="225"/>
      <c r="P792" s="225"/>
      <c r="Q792" s="225"/>
      <c r="R792" s="225"/>
      <c r="S792" s="225"/>
      <c r="T792" s="225"/>
      <c r="U792" s="225"/>
      <c r="V792" s="225"/>
      <c r="W792" s="225"/>
      <c r="X792" s="225"/>
    </row>
    <row r="793" spans="1:24" ht="14.25" x14ac:dyDescent="0.2">
      <c r="A793" s="225"/>
      <c r="B793" s="225"/>
      <c r="C793" s="225"/>
      <c r="D793" s="225"/>
      <c r="E793" s="225"/>
      <c r="F793" s="225"/>
      <c r="G793" s="225"/>
      <c r="H793" s="225"/>
      <c r="I793" s="225"/>
      <c r="J793" s="225"/>
      <c r="K793" s="225"/>
      <c r="L793" s="225"/>
      <c r="M793" s="225"/>
      <c r="N793" s="225"/>
      <c r="O793" s="225"/>
      <c r="P793" s="225"/>
      <c r="Q793" s="225"/>
      <c r="R793" s="225"/>
      <c r="S793" s="225"/>
      <c r="T793" s="225"/>
      <c r="U793" s="225"/>
      <c r="V793" s="225"/>
      <c r="W793" s="225"/>
      <c r="X793" s="225"/>
    </row>
    <row r="794" spans="1:24" ht="14.25" x14ac:dyDescent="0.2">
      <c r="A794" s="225"/>
      <c r="B794" s="225"/>
      <c r="C794" s="225"/>
      <c r="D794" s="225"/>
      <c r="E794" s="225"/>
      <c r="F794" s="225"/>
      <c r="G794" s="225"/>
      <c r="H794" s="225"/>
      <c r="I794" s="225"/>
      <c r="J794" s="225"/>
      <c r="K794" s="225"/>
      <c r="L794" s="225"/>
      <c r="M794" s="225"/>
      <c r="N794" s="225"/>
      <c r="O794" s="225"/>
      <c r="P794" s="225"/>
      <c r="Q794" s="225"/>
      <c r="R794" s="225"/>
      <c r="S794" s="225"/>
      <c r="T794" s="225"/>
      <c r="U794" s="225"/>
      <c r="V794" s="225"/>
      <c r="W794" s="225"/>
      <c r="X794" s="225"/>
    </row>
    <row r="795" spans="1:24" ht="14.25" x14ac:dyDescent="0.2">
      <c r="A795" s="225"/>
      <c r="B795" s="225"/>
      <c r="C795" s="225"/>
      <c r="D795" s="225"/>
      <c r="E795" s="225"/>
      <c r="F795" s="225"/>
      <c r="G795" s="225"/>
      <c r="H795" s="225"/>
      <c r="I795" s="225"/>
      <c r="J795" s="225"/>
      <c r="K795" s="225"/>
      <c r="L795" s="225"/>
      <c r="M795" s="225"/>
      <c r="N795" s="225"/>
      <c r="O795" s="225"/>
      <c r="P795" s="225"/>
      <c r="Q795" s="225"/>
      <c r="R795" s="225"/>
      <c r="S795" s="225"/>
      <c r="T795" s="225"/>
      <c r="U795" s="225"/>
      <c r="V795" s="225"/>
      <c r="W795" s="225"/>
      <c r="X795" s="225"/>
    </row>
    <row r="796" spans="1:24" ht="14.25" x14ac:dyDescent="0.2">
      <c r="A796" s="225"/>
      <c r="B796" s="225"/>
      <c r="C796" s="225"/>
      <c r="D796" s="225"/>
      <c r="E796" s="225"/>
      <c r="F796" s="225"/>
      <c r="G796" s="225"/>
      <c r="H796" s="225"/>
      <c r="I796" s="225"/>
      <c r="J796" s="225"/>
      <c r="K796" s="225"/>
      <c r="L796" s="225"/>
      <c r="M796" s="225"/>
      <c r="N796" s="225"/>
      <c r="O796" s="225"/>
      <c r="P796" s="225"/>
      <c r="Q796" s="225"/>
      <c r="R796" s="225"/>
      <c r="S796" s="225"/>
      <c r="T796" s="225"/>
      <c r="U796" s="225"/>
      <c r="V796" s="225"/>
      <c r="W796" s="225"/>
      <c r="X796" s="225"/>
    </row>
    <row r="797" spans="1:24" ht="14.25" x14ac:dyDescent="0.2">
      <c r="A797" s="225"/>
      <c r="B797" s="225"/>
      <c r="C797" s="225"/>
      <c r="D797" s="225"/>
      <c r="E797" s="225"/>
      <c r="F797" s="225"/>
      <c r="G797" s="225"/>
      <c r="H797" s="225"/>
      <c r="I797" s="225"/>
      <c r="J797" s="225"/>
      <c r="K797" s="225"/>
      <c r="L797" s="225"/>
      <c r="M797" s="225"/>
      <c r="N797" s="225"/>
      <c r="O797" s="225"/>
      <c r="P797" s="225"/>
      <c r="Q797" s="225"/>
      <c r="R797" s="225"/>
      <c r="S797" s="225"/>
      <c r="T797" s="225"/>
      <c r="U797" s="225"/>
      <c r="V797" s="225"/>
      <c r="W797" s="225"/>
      <c r="X797" s="225"/>
    </row>
    <row r="798" spans="1:24" ht="14.25" x14ac:dyDescent="0.2">
      <c r="A798" s="225"/>
      <c r="B798" s="225"/>
      <c r="C798" s="225"/>
      <c r="D798" s="225"/>
      <c r="E798" s="225"/>
      <c r="F798" s="225"/>
      <c r="G798" s="225"/>
      <c r="H798" s="225"/>
      <c r="I798" s="225"/>
      <c r="J798" s="225"/>
      <c r="K798" s="225"/>
      <c r="L798" s="225"/>
      <c r="M798" s="225"/>
      <c r="N798" s="225"/>
      <c r="O798" s="225"/>
      <c r="P798" s="225"/>
      <c r="Q798" s="225"/>
      <c r="R798" s="225"/>
      <c r="S798" s="225"/>
      <c r="T798" s="225"/>
      <c r="U798" s="225"/>
      <c r="V798" s="225"/>
      <c r="W798" s="225"/>
      <c r="X798" s="225"/>
    </row>
    <row r="799" spans="1:24" ht="14.25" x14ac:dyDescent="0.2">
      <c r="A799" s="225"/>
      <c r="B799" s="225"/>
      <c r="C799" s="225"/>
      <c r="D799" s="225"/>
      <c r="E799" s="225"/>
      <c r="F799" s="225"/>
      <c r="G799" s="225"/>
      <c r="H799" s="225"/>
      <c r="I799" s="225"/>
      <c r="J799" s="225"/>
      <c r="K799" s="225"/>
      <c r="L799" s="225"/>
      <c r="M799" s="225"/>
      <c r="N799" s="225"/>
      <c r="O799" s="225"/>
      <c r="P799" s="225"/>
      <c r="Q799" s="225"/>
      <c r="R799" s="225"/>
      <c r="S799" s="225"/>
      <c r="T799" s="225"/>
      <c r="U799" s="225"/>
      <c r="V799" s="225"/>
      <c r="W799" s="225"/>
      <c r="X799" s="225"/>
    </row>
    <row r="800" spans="1:24" ht="14.25" x14ac:dyDescent="0.2">
      <c r="A800" s="225"/>
      <c r="B800" s="225"/>
      <c r="C800" s="225"/>
      <c r="D800" s="225"/>
      <c r="E800" s="225"/>
      <c r="F800" s="225"/>
      <c r="G800" s="225"/>
      <c r="H800" s="225"/>
      <c r="I800" s="225"/>
      <c r="J800" s="225"/>
      <c r="K800" s="225"/>
      <c r="L800" s="225"/>
      <c r="M800" s="225"/>
      <c r="N800" s="225"/>
      <c r="O800" s="225"/>
      <c r="P800" s="225"/>
      <c r="Q800" s="225"/>
      <c r="R800" s="225"/>
      <c r="S800" s="225"/>
      <c r="T800" s="225"/>
      <c r="U800" s="225"/>
      <c r="V800" s="225"/>
      <c r="W800" s="225"/>
      <c r="X800" s="225"/>
    </row>
    <row r="801" spans="1:24" ht="14.25" x14ac:dyDescent="0.2">
      <c r="A801" s="225"/>
      <c r="B801" s="225"/>
      <c r="C801" s="225"/>
      <c r="D801" s="225"/>
      <c r="E801" s="225"/>
      <c r="F801" s="225"/>
      <c r="G801" s="225"/>
      <c r="H801" s="225"/>
      <c r="I801" s="225"/>
      <c r="J801" s="225"/>
      <c r="K801" s="225"/>
      <c r="L801" s="225"/>
      <c r="M801" s="225"/>
      <c r="N801" s="225"/>
      <c r="O801" s="225"/>
      <c r="P801" s="225"/>
      <c r="Q801" s="225"/>
      <c r="R801" s="225"/>
      <c r="S801" s="225"/>
      <c r="T801" s="225"/>
      <c r="U801" s="225"/>
      <c r="V801" s="225"/>
      <c r="W801" s="225"/>
      <c r="X801" s="225"/>
    </row>
    <row r="802" spans="1:24" ht="14.25" x14ac:dyDescent="0.2">
      <c r="A802" s="225"/>
      <c r="B802" s="225"/>
      <c r="C802" s="225"/>
      <c r="D802" s="225"/>
      <c r="E802" s="225"/>
      <c r="F802" s="225"/>
      <c r="G802" s="225"/>
      <c r="H802" s="225"/>
      <c r="I802" s="225"/>
      <c r="J802" s="225"/>
      <c r="K802" s="225"/>
      <c r="L802" s="225"/>
      <c r="M802" s="225"/>
      <c r="N802" s="225"/>
      <c r="O802" s="225"/>
      <c r="P802" s="225"/>
      <c r="Q802" s="225"/>
      <c r="R802" s="225"/>
      <c r="S802" s="225"/>
      <c r="T802" s="225"/>
      <c r="U802" s="225"/>
      <c r="V802" s="225"/>
      <c r="W802" s="225"/>
      <c r="X802" s="225"/>
    </row>
    <row r="803" spans="1:24" ht="14.25" x14ac:dyDescent="0.2">
      <c r="A803" s="225"/>
      <c r="B803" s="225"/>
      <c r="C803" s="225"/>
      <c r="D803" s="225"/>
      <c r="E803" s="225"/>
      <c r="F803" s="225"/>
      <c r="G803" s="225"/>
      <c r="H803" s="225"/>
      <c r="I803" s="225"/>
      <c r="J803" s="225"/>
      <c r="K803" s="225"/>
      <c r="L803" s="225"/>
      <c r="M803" s="225"/>
      <c r="N803" s="225"/>
      <c r="O803" s="225"/>
      <c r="P803" s="225"/>
      <c r="Q803" s="225"/>
      <c r="R803" s="225"/>
      <c r="S803" s="225"/>
      <c r="T803" s="225"/>
      <c r="U803" s="225"/>
      <c r="V803" s="225"/>
      <c r="W803" s="225"/>
      <c r="X803" s="225"/>
    </row>
    <row r="804" spans="1:24" ht="14.25" x14ac:dyDescent="0.2">
      <c r="A804" s="225"/>
      <c r="B804" s="225"/>
      <c r="C804" s="225"/>
      <c r="D804" s="225"/>
      <c r="E804" s="225"/>
      <c r="F804" s="225"/>
      <c r="G804" s="225"/>
      <c r="H804" s="225"/>
      <c r="I804" s="225"/>
      <c r="J804" s="225"/>
      <c r="K804" s="225"/>
      <c r="L804" s="225"/>
      <c r="M804" s="225"/>
      <c r="N804" s="225"/>
      <c r="O804" s="225"/>
      <c r="P804" s="225"/>
      <c r="Q804" s="225"/>
      <c r="R804" s="225"/>
      <c r="S804" s="225"/>
      <c r="T804" s="225"/>
      <c r="U804" s="225"/>
      <c r="V804" s="225"/>
      <c r="W804" s="225"/>
      <c r="X804" s="225"/>
    </row>
    <row r="805" spans="1:24" ht="14.25" x14ac:dyDescent="0.2">
      <c r="A805" s="225"/>
      <c r="B805" s="225"/>
      <c r="C805" s="225"/>
      <c r="D805" s="225"/>
      <c r="E805" s="225"/>
      <c r="F805" s="225"/>
      <c r="G805" s="225"/>
      <c r="H805" s="225"/>
      <c r="I805" s="225"/>
      <c r="J805" s="225"/>
      <c r="K805" s="225"/>
      <c r="L805" s="225"/>
      <c r="M805" s="225"/>
      <c r="N805" s="225"/>
      <c r="O805" s="225"/>
      <c r="P805" s="225"/>
      <c r="Q805" s="225"/>
      <c r="R805" s="225"/>
      <c r="S805" s="225"/>
      <c r="T805" s="225"/>
      <c r="U805" s="225"/>
      <c r="V805" s="225"/>
      <c r="W805" s="225"/>
      <c r="X805" s="225"/>
    </row>
    <row r="806" spans="1:24" ht="14.25" x14ac:dyDescent="0.2">
      <c r="A806" s="225"/>
      <c r="B806" s="225"/>
      <c r="C806" s="225"/>
      <c r="D806" s="225"/>
      <c r="E806" s="225"/>
      <c r="F806" s="225"/>
      <c r="G806" s="225"/>
      <c r="H806" s="225"/>
      <c r="I806" s="225"/>
      <c r="J806" s="225"/>
      <c r="K806" s="225"/>
      <c r="L806" s="225"/>
      <c r="M806" s="225"/>
      <c r="N806" s="225"/>
      <c r="O806" s="225"/>
      <c r="P806" s="225"/>
      <c r="Q806" s="225"/>
      <c r="R806" s="225"/>
      <c r="S806" s="225"/>
      <c r="T806" s="225"/>
      <c r="U806" s="225"/>
      <c r="V806" s="225"/>
      <c r="W806" s="225"/>
      <c r="X806" s="225"/>
    </row>
    <row r="807" spans="1:24" ht="14.25" x14ac:dyDescent="0.2">
      <c r="A807" s="225"/>
      <c r="B807" s="225"/>
      <c r="C807" s="225"/>
      <c r="D807" s="225"/>
      <c r="E807" s="225"/>
      <c r="F807" s="225"/>
      <c r="G807" s="225"/>
      <c r="H807" s="225"/>
      <c r="I807" s="225"/>
      <c r="J807" s="225"/>
      <c r="K807" s="225"/>
      <c r="L807" s="225"/>
      <c r="M807" s="225"/>
      <c r="N807" s="225"/>
      <c r="O807" s="225"/>
      <c r="P807" s="225"/>
      <c r="Q807" s="225"/>
      <c r="R807" s="225"/>
      <c r="S807" s="225"/>
      <c r="T807" s="225"/>
      <c r="U807" s="225"/>
      <c r="V807" s="225"/>
      <c r="W807" s="225"/>
      <c r="X807" s="225"/>
    </row>
    <row r="808" spans="1:24" ht="14.25" x14ac:dyDescent="0.2">
      <c r="A808" s="225"/>
      <c r="B808" s="225"/>
      <c r="C808" s="225"/>
      <c r="D808" s="225"/>
      <c r="E808" s="225"/>
      <c r="F808" s="225"/>
      <c r="G808" s="225"/>
      <c r="H808" s="225"/>
      <c r="I808" s="225"/>
      <c r="J808" s="225"/>
      <c r="K808" s="225"/>
      <c r="L808" s="225"/>
      <c r="M808" s="225"/>
      <c r="N808" s="225"/>
      <c r="O808" s="225"/>
      <c r="P808" s="225"/>
      <c r="Q808" s="225"/>
      <c r="R808" s="225"/>
      <c r="S808" s="225"/>
      <c r="T808" s="225"/>
      <c r="U808" s="225"/>
      <c r="V808" s="225"/>
      <c r="W808" s="225"/>
      <c r="X808" s="225"/>
    </row>
    <row r="809" spans="1:24" ht="14.25" x14ac:dyDescent="0.2">
      <c r="A809" s="225"/>
      <c r="B809" s="225"/>
      <c r="C809" s="225"/>
      <c r="D809" s="225"/>
      <c r="E809" s="225"/>
      <c r="F809" s="225"/>
      <c r="G809" s="225"/>
      <c r="H809" s="225"/>
      <c r="I809" s="225"/>
      <c r="J809" s="225"/>
      <c r="K809" s="225"/>
      <c r="L809" s="225"/>
      <c r="M809" s="225"/>
      <c r="N809" s="225"/>
      <c r="O809" s="225"/>
      <c r="P809" s="225"/>
      <c r="Q809" s="225"/>
      <c r="R809" s="225"/>
      <c r="S809" s="225"/>
      <c r="T809" s="225"/>
      <c r="U809" s="225"/>
      <c r="V809" s="225"/>
      <c r="W809" s="225"/>
      <c r="X809" s="225"/>
    </row>
    <row r="810" spans="1:24" ht="14.25" x14ac:dyDescent="0.2">
      <c r="A810" s="225"/>
      <c r="B810" s="225"/>
      <c r="C810" s="225"/>
      <c r="D810" s="225"/>
      <c r="E810" s="225"/>
      <c r="F810" s="225"/>
      <c r="G810" s="225"/>
      <c r="H810" s="225"/>
      <c r="I810" s="225"/>
      <c r="J810" s="225"/>
      <c r="K810" s="225"/>
      <c r="L810" s="225"/>
      <c r="M810" s="225"/>
      <c r="N810" s="225"/>
      <c r="O810" s="225"/>
      <c r="P810" s="225"/>
      <c r="Q810" s="225"/>
      <c r="R810" s="225"/>
      <c r="S810" s="225"/>
      <c r="T810" s="225"/>
      <c r="U810" s="225"/>
      <c r="V810" s="225"/>
      <c r="W810" s="225"/>
      <c r="X810" s="225"/>
    </row>
    <row r="811" spans="1:24" ht="14.25" x14ac:dyDescent="0.2">
      <c r="A811" s="225"/>
      <c r="B811" s="225"/>
      <c r="C811" s="225"/>
      <c r="D811" s="225"/>
      <c r="E811" s="225"/>
      <c r="F811" s="225"/>
      <c r="G811" s="225"/>
      <c r="H811" s="225"/>
      <c r="I811" s="225"/>
      <c r="J811" s="225"/>
      <c r="K811" s="225"/>
      <c r="L811" s="225"/>
      <c r="M811" s="225"/>
      <c r="N811" s="225"/>
      <c r="O811" s="225"/>
      <c r="P811" s="225"/>
      <c r="Q811" s="225"/>
      <c r="R811" s="225"/>
      <c r="S811" s="225"/>
      <c r="T811" s="225"/>
      <c r="U811" s="225"/>
      <c r="V811" s="225"/>
      <c r="W811" s="225"/>
      <c r="X811" s="225"/>
    </row>
    <row r="812" spans="1:24" ht="14.25" x14ac:dyDescent="0.2">
      <c r="A812" s="225"/>
      <c r="B812" s="225"/>
      <c r="C812" s="225"/>
      <c r="D812" s="225"/>
      <c r="E812" s="225"/>
      <c r="F812" s="225"/>
      <c r="G812" s="225"/>
      <c r="H812" s="225"/>
      <c r="I812" s="225"/>
      <c r="J812" s="225"/>
      <c r="K812" s="225"/>
      <c r="L812" s="225"/>
      <c r="M812" s="225"/>
      <c r="N812" s="225"/>
      <c r="O812" s="225"/>
      <c r="P812" s="225"/>
      <c r="Q812" s="225"/>
      <c r="R812" s="225"/>
      <c r="S812" s="225"/>
      <c r="T812" s="225"/>
      <c r="U812" s="225"/>
      <c r="V812" s="225"/>
      <c r="W812" s="225"/>
      <c r="X812" s="225"/>
    </row>
    <row r="813" spans="1:24" ht="14.25" x14ac:dyDescent="0.2">
      <c r="A813" s="225"/>
      <c r="B813" s="225"/>
      <c r="C813" s="225"/>
      <c r="D813" s="225"/>
      <c r="E813" s="225"/>
      <c r="F813" s="225"/>
      <c r="G813" s="225"/>
      <c r="H813" s="225"/>
      <c r="I813" s="225"/>
      <c r="J813" s="225"/>
      <c r="K813" s="225"/>
      <c r="L813" s="225"/>
      <c r="M813" s="225"/>
      <c r="N813" s="225"/>
      <c r="O813" s="225"/>
      <c r="P813" s="225"/>
      <c r="Q813" s="225"/>
      <c r="R813" s="225"/>
      <c r="S813" s="225"/>
      <c r="T813" s="225"/>
      <c r="U813" s="225"/>
      <c r="V813" s="225"/>
      <c r="W813" s="225"/>
      <c r="X813" s="225"/>
    </row>
    <row r="814" spans="1:24" ht="14.25" x14ac:dyDescent="0.2">
      <c r="A814" s="225"/>
      <c r="B814" s="225"/>
      <c r="C814" s="225"/>
      <c r="D814" s="225"/>
      <c r="E814" s="225"/>
      <c r="F814" s="225"/>
      <c r="G814" s="225"/>
      <c r="H814" s="225"/>
      <c r="I814" s="225"/>
      <c r="J814" s="225"/>
      <c r="K814" s="225"/>
      <c r="L814" s="225"/>
      <c r="M814" s="225"/>
      <c r="N814" s="225"/>
      <c r="O814" s="225"/>
      <c r="P814" s="225"/>
      <c r="Q814" s="225"/>
      <c r="R814" s="225"/>
      <c r="S814" s="225"/>
      <c r="T814" s="225"/>
      <c r="U814" s="225"/>
      <c r="V814" s="225"/>
      <c r="W814" s="225"/>
      <c r="X814" s="225"/>
    </row>
    <row r="815" spans="1:24" ht="14.25" x14ac:dyDescent="0.2">
      <c r="A815" s="225"/>
      <c r="B815" s="225"/>
      <c r="C815" s="225"/>
      <c r="D815" s="225"/>
      <c r="E815" s="225"/>
      <c r="F815" s="225"/>
      <c r="G815" s="225"/>
      <c r="H815" s="225"/>
      <c r="I815" s="225"/>
      <c r="J815" s="225"/>
      <c r="K815" s="225"/>
      <c r="L815" s="225"/>
      <c r="M815" s="225"/>
      <c r="N815" s="225"/>
      <c r="O815" s="225"/>
      <c r="P815" s="225"/>
      <c r="Q815" s="225"/>
      <c r="R815" s="225"/>
      <c r="S815" s="225"/>
      <c r="T815" s="225"/>
      <c r="U815" s="225"/>
      <c r="V815" s="225"/>
      <c r="W815" s="225"/>
      <c r="X815" s="225"/>
    </row>
    <row r="816" spans="1:24" ht="14.25" x14ac:dyDescent="0.2">
      <c r="A816" s="225"/>
      <c r="B816" s="225"/>
      <c r="C816" s="225"/>
      <c r="D816" s="225"/>
      <c r="E816" s="225"/>
      <c r="F816" s="225"/>
      <c r="G816" s="225"/>
      <c r="H816" s="225"/>
      <c r="I816" s="225"/>
      <c r="J816" s="225"/>
      <c r="K816" s="225"/>
      <c r="L816" s="225"/>
      <c r="M816" s="225"/>
      <c r="N816" s="225"/>
      <c r="O816" s="225"/>
      <c r="P816" s="225"/>
      <c r="Q816" s="225"/>
      <c r="R816" s="225"/>
      <c r="S816" s="225"/>
      <c r="T816" s="225"/>
      <c r="U816" s="225"/>
      <c r="V816" s="225"/>
      <c r="W816" s="225"/>
      <c r="X816" s="225"/>
    </row>
    <row r="817" spans="1:24" ht="14.25" x14ac:dyDescent="0.2">
      <c r="A817" s="225"/>
      <c r="B817" s="225"/>
      <c r="C817" s="225"/>
      <c r="D817" s="225"/>
      <c r="E817" s="225"/>
      <c r="F817" s="225"/>
      <c r="G817" s="225"/>
      <c r="H817" s="225"/>
      <c r="I817" s="225"/>
      <c r="J817" s="225"/>
      <c r="K817" s="225"/>
      <c r="L817" s="225"/>
      <c r="M817" s="225"/>
      <c r="N817" s="225"/>
      <c r="O817" s="225"/>
      <c r="P817" s="225"/>
      <c r="Q817" s="225"/>
      <c r="R817" s="225"/>
      <c r="S817" s="225"/>
      <c r="T817" s="225"/>
      <c r="U817" s="225"/>
      <c r="V817" s="225"/>
      <c r="W817" s="225"/>
      <c r="X817" s="225"/>
    </row>
    <row r="818" spans="1:24" ht="14.25" x14ac:dyDescent="0.2">
      <c r="A818" s="225"/>
      <c r="B818" s="225"/>
      <c r="C818" s="225"/>
      <c r="D818" s="225"/>
      <c r="E818" s="225"/>
      <c r="F818" s="225"/>
      <c r="G818" s="225"/>
      <c r="H818" s="225"/>
      <c r="I818" s="225"/>
      <c r="J818" s="225"/>
      <c r="K818" s="225"/>
      <c r="L818" s="225"/>
      <c r="M818" s="225"/>
      <c r="N818" s="225"/>
      <c r="O818" s="225"/>
      <c r="P818" s="225"/>
      <c r="Q818" s="225"/>
      <c r="R818" s="225"/>
      <c r="S818" s="225"/>
      <c r="T818" s="225"/>
      <c r="U818" s="225"/>
      <c r="V818" s="225"/>
      <c r="W818" s="225"/>
      <c r="X818" s="225"/>
    </row>
    <row r="819" spans="1:24" ht="14.25" x14ac:dyDescent="0.2">
      <c r="A819" s="225"/>
      <c r="B819" s="225"/>
      <c r="C819" s="225"/>
      <c r="D819" s="225"/>
      <c r="E819" s="225"/>
      <c r="F819" s="225"/>
      <c r="G819" s="225"/>
      <c r="H819" s="225"/>
      <c r="I819" s="225"/>
      <c r="J819" s="225"/>
      <c r="K819" s="225"/>
      <c r="L819" s="225"/>
      <c r="M819" s="225"/>
      <c r="N819" s="225"/>
      <c r="O819" s="225"/>
      <c r="P819" s="225"/>
      <c r="Q819" s="225"/>
      <c r="R819" s="225"/>
      <c r="S819" s="225"/>
      <c r="T819" s="225"/>
      <c r="U819" s="225"/>
      <c r="V819" s="225"/>
      <c r="W819" s="225"/>
      <c r="X819" s="225"/>
    </row>
    <row r="820" spans="1:24" ht="14.25" x14ac:dyDescent="0.2">
      <c r="A820" s="225"/>
      <c r="B820" s="225"/>
      <c r="C820" s="225"/>
      <c r="D820" s="225"/>
      <c r="E820" s="225"/>
      <c r="F820" s="225"/>
      <c r="G820" s="225"/>
      <c r="H820" s="225"/>
      <c r="I820" s="225"/>
      <c r="J820" s="225"/>
      <c r="K820" s="225"/>
      <c r="L820" s="225"/>
      <c r="M820" s="225"/>
      <c r="N820" s="225"/>
      <c r="O820" s="225"/>
      <c r="P820" s="225"/>
      <c r="Q820" s="225"/>
      <c r="R820" s="225"/>
      <c r="S820" s="225"/>
      <c r="T820" s="225"/>
      <c r="U820" s="225"/>
      <c r="V820" s="225"/>
      <c r="W820" s="225"/>
      <c r="X820" s="225"/>
    </row>
    <row r="821" spans="1:24" ht="14.25" x14ac:dyDescent="0.2">
      <c r="A821" s="225"/>
      <c r="B821" s="225"/>
      <c r="C821" s="225"/>
      <c r="D821" s="225"/>
      <c r="E821" s="225"/>
      <c r="F821" s="225"/>
      <c r="G821" s="225"/>
      <c r="H821" s="225"/>
      <c r="I821" s="225"/>
      <c r="J821" s="225"/>
      <c r="K821" s="225"/>
      <c r="L821" s="225"/>
      <c r="M821" s="225"/>
      <c r="N821" s="225"/>
      <c r="O821" s="225"/>
      <c r="P821" s="225"/>
      <c r="Q821" s="225"/>
      <c r="R821" s="225"/>
      <c r="S821" s="225"/>
      <c r="T821" s="225"/>
      <c r="U821" s="225"/>
      <c r="V821" s="225"/>
      <c r="W821" s="225"/>
      <c r="X821" s="225"/>
    </row>
    <row r="822" spans="1:24" ht="14.25" x14ac:dyDescent="0.2">
      <c r="A822" s="225"/>
      <c r="B822" s="225"/>
      <c r="C822" s="225"/>
      <c r="D822" s="225"/>
      <c r="E822" s="225"/>
      <c r="F822" s="225"/>
      <c r="G822" s="225"/>
      <c r="H822" s="225"/>
      <c r="I822" s="225"/>
      <c r="J822" s="225"/>
      <c r="K822" s="225"/>
      <c r="L822" s="225"/>
      <c r="M822" s="225"/>
      <c r="N822" s="225"/>
      <c r="O822" s="225"/>
      <c r="P822" s="225"/>
      <c r="Q822" s="225"/>
      <c r="R822" s="225"/>
      <c r="S822" s="225"/>
      <c r="T822" s="225"/>
      <c r="U822" s="225"/>
      <c r="V822" s="225"/>
      <c r="W822" s="225"/>
      <c r="X822" s="225"/>
    </row>
    <row r="823" spans="1:24" ht="14.25" x14ac:dyDescent="0.2">
      <c r="A823" s="225"/>
      <c r="B823" s="225"/>
      <c r="C823" s="225"/>
      <c r="D823" s="225"/>
      <c r="E823" s="225"/>
      <c r="F823" s="225"/>
      <c r="G823" s="225"/>
      <c r="H823" s="225"/>
      <c r="I823" s="225"/>
      <c r="J823" s="225"/>
      <c r="K823" s="225"/>
      <c r="L823" s="225"/>
      <c r="M823" s="225"/>
      <c r="N823" s="225"/>
      <c r="O823" s="225"/>
      <c r="P823" s="225"/>
      <c r="Q823" s="225"/>
      <c r="R823" s="225"/>
      <c r="S823" s="225"/>
      <c r="T823" s="225"/>
      <c r="U823" s="225"/>
      <c r="V823" s="225"/>
      <c r="W823" s="225"/>
      <c r="X823" s="225"/>
    </row>
    <row r="824" spans="1:24" ht="14.25" x14ac:dyDescent="0.2">
      <c r="A824" s="225"/>
      <c r="B824" s="225"/>
      <c r="C824" s="225"/>
      <c r="D824" s="225"/>
      <c r="E824" s="225"/>
      <c r="F824" s="225"/>
      <c r="G824" s="225"/>
      <c r="H824" s="225"/>
      <c r="I824" s="225"/>
      <c r="J824" s="225"/>
      <c r="K824" s="225"/>
      <c r="L824" s="225"/>
      <c r="M824" s="225"/>
      <c r="N824" s="225"/>
      <c r="O824" s="225"/>
      <c r="P824" s="225"/>
      <c r="Q824" s="225"/>
      <c r="R824" s="225"/>
      <c r="S824" s="225"/>
      <c r="T824" s="225"/>
      <c r="U824" s="225"/>
      <c r="V824" s="225"/>
      <c r="W824" s="225"/>
      <c r="X824" s="225"/>
    </row>
    <row r="825" spans="1:24" ht="14.25" x14ac:dyDescent="0.2">
      <c r="A825" s="225"/>
      <c r="B825" s="225"/>
      <c r="C825" s="225"/>
      <c r="D825" s="225"/>
      <c r="E825" s="225"/>
      <c r="F825" s="225"/>
      <c r="G825" s="225"/>
      <c r="H825" s="225"/>
      <c r="I825" s="225"/>
      <c r="J825" s="225"/>
      <c r="K825" s="225"/>
      <c r="L825" s="225"/>
      <c r="M825" s="225"/>
      <c r="N825" s="225"/>
      <c r="O825" s="225"/>
      <c r="P825" s="225"/>
      <c r="Q825" s="225"/>
      <c r="R825" s="225"/>
      <c r="S825" s="225"/>
      <c r="T825" s="225"/>
      <c r="U825" s="225"/>
      <c r="V825" s="225"/>
      <c r="W825" s="225"/>
      <c r="X825" s="225"/>
    </row>
    <row r="826" spans="1:24" ht="14.25" x14ac:dyDescent="0.2">
      <c r="A826" s="225"/>
      <c r="B826" s="225"/>
      <c r="C826" s="225"/>
      <c r="D826" s="225"/>
      <c r="E826" s="225"/>
      <c r="F826" s="225"/>
      <c r="G826" s="225"/>
      <c r="H826" s="225"/>
      <c r="I826" s="225"/>
      <c r="J826" s="225"/>
      <c r="K826" s="225"/>
      <c r="L826" s="225"/>
      <c r="M826" s="225"/>
      <c r="N826" s="225"/>
      <c r="O826" s="225"/>
      <c r="P826" s="225"/>
      <c r="Q826" s="225"/>
      <c r="R826" s="225"/>
      <c r="S826" s="225"/>
      <c r="T826" s="225"/>
      <c r="U826" s="225"/>
      <c r="V826" s="225"/>
      <c r="W826" s="225"/>
      <c r="X826" s="225"/>
    </row>
    <row r="827" spans="1:24" ht="14.25" x14ac:dyDescent="0.2">
      <c r="A827" s="225"/>
      <c r="B827" s="225"/>
      <c r="C827" s="225"/>
      <c r="D827" s="225"/>
      <c r="E827" s="225"/>
      <c r="F827" s="225"/>
      <c r="G827" s="225"/>
      <c r="H827" s="225"/>
      <c r="I827" s="225"/>
      <c r="J827" s="225"/>
      <c r="K827" s="225"/>
      <c r="L827" s="225"/>
      <c r="M827" s="225"/>
      <c r="N827" s="225"/>
      <c r="O827" s="225"/>
      <c r="P827" s="225"/>
      <c r="Q827" s="225"/>
      <c r="R827" s="225"/>
      <c r="S827" s="225"/>
      <c r="T827" s="225"/>
      <c r="U827" s="225"/>
      <c r="V827" s="225"/>
      <c r="W827" s="225"/>
      <c r="X827" s="225"/>
    </row>
    <row r="828" spans="1:24" ht="14.25" x14ac:dyDescent="0.2">
      <c r="A828" s="225"/>
      <c r="B828" s="225"/>
      <c r="C828" s="225"/>
      <c r="D828" s="225"/>
      <c r="E828" s="225"/>
      <c r="F828" s="225"/>
      <c r="G828" s="225"/>
      <c r="H828" s="225"/>
      <c r="I828" s="225"/>
      <c r="J828" s="225"/>
      <c r="K828" s="225"/>
      <c r="L828" s="225"/>
      <c r="M828" s="225"/>
      <c r="N828" s="225"/>
      <c r="O828" s="225"/>
      <c r="P828" s="225"/>
      <c r="Q828" s="225"/>
      <c r="R828" s="225"/>
      <c r="S828" s="225"/>
      <c r="T828" s="225"/>
      <c r="U828" s="225"/>
      <c r="V828" s="225"/>
      <c r="W828" s="225"/>
      <c r="X828" s="225"/>
    </row>
    <row r="829" spans="1:24" ht="14.25" x14ac:dyDescent="0.2">
      <c r="A829" s="225"/>
      <c r="B829" s="225"/>
      <c r="C829" s="225"/>
      <c r="D829" s="225"/>
      <c r="E829" s="225"/>
      <c r="F829" s="225"/>
      <c r="G829" s="225"/>
      <c r="H829" s="225"/>
      <c r="I829" s="225"/>
      <c r="J829" s="225"/>
      <c r="K829" s="225"/>
      <c r="L829" s="225"/>
      <c r="M829" s="225"/>
      <c r="N829" s="225"/>
      <c r="O829" s="225"/>
      <c r="P829" s="225"/>
      <c r="Q829" s="225"/>
      <c r="R829" s="225"/>
      <c r="S829" s="225"/>
      <c r="T829" s="225"/>
      <c r="U829" s="225"/>
      <c r="V829" s="225"/>
      <c r="W829" s="225"/>
      <c r="X829" s="225"/>
    </row>
    <row r="830" spans="1:24" ht="14.25" x14ac:dyDescent="0.2">
      <c r="A830" s="225"/>
      <c r="B830" s="225"/>
      <c r="C830" s="225"/>
      <c r="D830" s="225"/>
      <c r="E830" s="225"/>
      <c r="F830" s="225"/>
      <c r="G830" s="225"/>
      <c r="H830" s="225"/>
      <c r="I830" s="225"/>
      <c r="J830" s="225"/>
      <c r="K830" s="225"/>
      <c r="L830" s="225"/>
      <c r="M830" s="225"/>
      <c r="N830" s="225"/>
      <c r="O830" s="225"/>
      <c r="P830" s="225"/>
      <c r="Q830" s="225"/>
      <c r="R830" s="225"/>
      <c r="S830" s="225"/>
      <c r="T830" s="225"/>
      <c r="U830" s="225"/>
      <c r="V830" s="225"/>
      <c r="W830" s="225"/>
      <c r="X830" s="225"/>
    </row>
    <row r="831" spans="1:24" ht="14.25" x14ac:dyDescent="0.2">
      <c r="A831" s="225"/>
      <c r="B831" s="225"/>
      <c r="C831" s="225"/>
      <c r="D831" s="225"/>
      <c r="E831" s="225"/>
      <c r="F831" s="225"/>
      <c r="G831" s="225"/>
      <c r="H831" s="225"/>
      <c r="I831" s="225"/>
      <c r="J831" s="225"/>
      <c r="K831" s="225"/>
      <c r="L831" s="225"/>
      <c r="M831" s="225"/>
      <c r="N831" s="225"/>
      <c r="O831" s="225"/>
      <c r="P831" s="225"/>
      <c r="Q831" s="225"/>
      <c r="R831" s="225"/>
      <c r="S831" s="225"/>
      <c r="T831" s="225"/>
      <c r="U831" s="225"/>
      <c r="V831" s="225"/>
      <c r="W831" s="225"/>
      <c r="X831" s="225"/>
    </row>
    <row r="832" spans="1:24" ht="14.25" x14ac:dyDescent="0.2">
      <c r="A832" s="225"/>
      <c r="B832" s="225"/>
      <c r="C832" s="225"/>
      <c r="D832" s="225"/>
      <c r="E832" s="225"/>
      <c r="F832" s="225"/>
      <c r="G832" s="225"/>
      <c r="H832" s="225"/>
      <c r="I832" s="225"/>
      <c r="J832" s="225"/>
      <c r="K832" s="225"/>
      <c r="L832" s="225"/>
      <c r="M832" s="225"/>
      <c r="N832" s="225"/>
      <c r="O832" s="225"/>
      <c r="P832" s="225"/>
      <c r="Q832" s="225"/>
      <c r="R832" s="225"/>
      <c r="S832" s="225"/>
      <c r="T832" s="225"/>
      <c r="U832" s="225"/>
      <c r="V832" s="225"/>
      <c r="W832" s="225"/>
      <c r="X832" s="225"/>
    </row>
    <row r="833" spans="1:24" ht="14.25" x14ac:dyDescent="0.2">
      <c r="A833" s="225"/>
      <c r="B833" s="225"/>
      <c r="C833" s="225"/>
      <c r="D833" s="225"/>
      <c r="E833" s="225"/>
      <c r="F833" s="225"/>
      <c r="G833" s="225"/>
      <c r="H833" s="225"/>
      <c r="I833" s="225"/>
      <c r="J833" s="225"/>
      <c r="K833" s="225"/>
      <c r="L833" s="225"/>
      <c r="M833" s="225"/>
      <c r="N833" s="225"/>
      <c r="O833" s="225"/>
      <c r="P833" s="225"/>
      <c r="Q833" s="225"/>
      <c r="R833" s="225"/>
      <c r="S833" s="225"/>
      <c r="T833" s="225"/>
      <c r="U833" s="225"/>
      <c r="V833" s="225"/>
      <c r="W833" s="225"/>
      <c r="X833" s="225"/>
    </row>
    <row r="834" spans="1:24" ht="14.25" x14ac:dyDescent="0.2">
      <c r="A834" s="225"/>
      <c r="B834" s="225"/>
      <c r="C834" s="225"/>
      <c r="D834" s="225"/>
      <c r="E834" s="225"/>
      <c r="F834" s="225"/>
      <c r="G834" s="225"/>
      <c r="H834" s="225"/>
      <c r="I834" s="225"/>
      <c r="J834" s="225"/>
      <c r="K834" s="225"/>
      <c r="L834" s="225"/>
      <c r="M834" s="225"/>
      <c r="N834" s="225"/>
      <c r="O834" s="225"/>
      <c r="P834" s="225"/>
      <c r="Q834" s="225"/>
      <c r="R834" s="225"/>
      <c r="S834" s="225"/>
      <c r="T834" s="225"/>
      <c r="U834" s="225"/>
      <c r="V834" s="225"/>
      <c r="W834" s="225"/>
      <c r="X834" s="225"/>
    </row>
    <row r="835" spans="1:24" ht="14.25" x14ac:dyDescent="0.2">
      <c r="A835" s="225"/>
      <c r="B835" s="225"/>
      <c r="C835" s="225"/>
      <c r="D835" s="225"/>
      <c r="E835" s="225"/>
      <c r="F835" s="225"/>
      <c r="G835" s="225"/>
      <c r="H835" s="225"/>
      <c r="I835" s="225"/>
      <c r="J835" s="225"/>
      <c r="K835" s="225"/>
      <c r="L835" s="225"/>
      <c r="M835" s="225"/>
      <c r="N835" s="225"/>
      <c r="O835" s="225"/>
      <c r="P835" s="225"/>
      <c r="Q835" s="225"/>
      <c r="R835" s="225"/>
      <c r="S835" s="225"/>
      <c r="T835" s="225"/>
      <c r="U835" s="225"/>
      <c r="V835" s="225"/>
      <c r="W835" s="225"/>
      <c r="X835" s="225"/>
    </row>
    <row r="836" spans="1:24" ht="14.25" x14ac:dyDescent="0.2">
      <c r="A836" s="225"/>
      <c r="B836" s="225"/>
      <c r="C836" s="225"/>
      <c r="D836" s="225"/>
      <c r="E836" s="225"/>
      <c r="F836" s="225"/>
      <c r="G836" s="225"/>
      <c r="H836" s="225"/>
      <c r="I836" s="225"/>
      <c r="J836" s="225"/>
      <c r="K836" s="225"/>
      <c r="L836" s="225"/>
      <c r="M836" s="225"/>
      <c r="N836" s="225"/>
      <c r="O836" s="225"/>
      <c r="P836" s="225"/>
      <c r="Q836" s="225"/>
      <c r="R836" s="225"/>
      <c r="S836" s="225"/>
      <c r="T836" s="225"/>
      <c r="U836" s="225"/>
      <c r="V836" s="225"/>
      <c r="W836" s="225"/>
      <c r="X836" s="225"/>
    </row>
    <row r="837" spans="1:24" ht="14.25" x14ac:dyDescent="0.2">
      <c r="A837" s="225"/>
      <c r="B837" s="225"/>
      <c r="C837" s="225"/>
      <c r="D837" s="225"/>
      <c r="E837" s="225"/>
      <c r="F837" s="225"/>
      <c r="G837" s="225"/>
      <c r="H837" s="225"/>
      <c r="I837" s="225"/>
      <c r="J837" s="225"/>
      <c r="K837" s="225"/>
      <c r="L837" s="225"/>
      <c r="M837" s="225"/>
      <c r="N837" s="225"/>
      <c r="O837" s="225"/>
      <c r="P837" s="225"/>
      <c r="Q837" s="225"/>
      <c r="R837" s="225"/>
      <c r="S837" s="225"/>
      <c r="T837" s="225"/>
      <c r="U837" s="225"/>
      <c r="V837" s="225"/>
      <c r="W837" s="225"/>
      <c r="X837" s="225"/>
    </row>
    <row r="838" spans="1:24" ht="14.25" x14ac:dyDescent="0.2">
      <c r="A838" s="225"/>
      <c r="B838" s="225"/>
      <c r="C838" s="225"/>
      <c r="D838" s="225"/>
      <c r="E838" s="225"/>
      <c r="F838" s="225"/>
      <c r="G838" s="225"/>
      <c r="H838" s="225"/>
      <c r="I838" s="225"/>
      <c r="J838" s="225"/>
      <c r="K838" s="225"/>
      <c r="L838" s="225"/>
      <c r="M838" s="225"/>
      <c r="N838" s="225"/>
      <c r="O838" s="225"/>
      <c r="P838" s="225"/>
      <c r="Q838" s="225"/>
      <c r="R838" s="225"/>
      <c r="S838" s="225"/>
      <c r="T838" s="225"/>
      <c r="U838" s="225"/>
      <c r="V838" s="225"/>
      <c r="W838" s="225"/>
      <c r="X838" s="225"/>
    </row>
    <row r="839" spans="1:24" ht="14.25" x14ac:dyDescent="0.2">
      <c r="A839" s="225"/>
      <c r="B839" s="225"/>
      <c r="C839" s="225"/>
      <c r="D839" s="225"/>
      <c r="E839" s="225"/>
      <c r="F839" s="225"/>
      <c r="G839" s="225"/>
      <c r="H839" s="225"/>
      <c r="I839" s="225"/>
      <c r="J839" s="225"/>
      <c r="K839" s="225"/>
      <c r="L839" s="225"/>
      <c r="M839" s="225"/>
      <c r="N839" s="225"/>
      <c r="O839" s="225"/>
      <c r="P839" s="225"/>
      <c r="Q839" s="225"/>
      <c r="R839" s="225"/>
      <c r="S839" s="225"/>
      <c r="T839" s="225"/>
      <c r="U839" s="225"/>
      <c r="V839" s="225"/>
      <c r="W839" s="225"/>
      <c r="X839" s="225"/>
    </row>
    <row r="840" spans="1:24" ht="14.25" x14ac:dyDescent="0.2">
      <c r="A840" s="225"/>
      <c r="B840" s="225"/>
      <c r="C840" s="225"/>
      <c r="D840" s="225"/>
      <c r="E840" s="225"/>
      <c r="F840" s="225"/>
      <c r="G840" s="225"/>
      <c r="H840" s="225"/>
      <c r="I840" s="225"/>
      <c r="J840" s="225"/>
      <c r="K840" s="225"/>
      <c r="L840" s="225"/>
      <c r="M840" s="225"/>
      <c r="N840" s="225"/>
      <c r="O840" s="225"/>
      <c r="P840" s="225"/>
      <c r="Q840" s="225"/>
      <c r="R840" s="225"/>
      <c r="S840" s="225"/>
      <c r="T840" s="225"/>
      <c r="U840" s="225"/>
      <c r="V840" s="225"/>
      <c r="W840" s="225"/>
      <c r="X840" s="225"/>
    </row>
    <row r="841" spans="1:24" ht="14.25" x14ac:dyDescent="0.2">
      <c r="A841" s="225"/>
      <c r="B841" s="225"/>
      <c r="C841" s="225"/>
      <c r="D841" s="225"/>
      <c r="E841" s="225"/>
      <c r="F841" s="225"/>
      <c r="G841" s="225"/>
      <c r="H841" s="225"/>
      <c r="I841" s="225"/>
      <c r="J841" s="225"/>
      <c r="K841" s="225"/>
      <c r="L841" s="225"/>
      <c r="M841" s="225"/>
      <c r="N841" s="225"/>
      <c r="O841" s="225"/>
      <c r="P841" s="225"/>
      <c r="Q841" s="225"/>
      <c r="R841" s="225"/>
      <c r="S841" s="225"/>
      <c r="T841" s="225"/>
      <c r="U841" s="225"/>
      <c r="V841" s="225"/>
      <c r="W841" s="225"/>
      <c r="X841" s="225"/>
    </row>
    <row r="842" spans="1:24" ht="14.25" x14ac:dyDescent="0.2">
      <c r="A842" s="225"/>
      <c r="B842" s="225"/>
      <c r="C842" s="225"/>
      <c r="D842" s="225"/>
      <c r="E842" s="225"/>
      <c r="F842" s="225"/>
      <c r="G842" s="225"/>
      <c r="H842" s="225"/>
      <c r="I842" s="225"/>
      <c r="J842" s="225"/>
      <c r="K842" s="225"/>
      <c r="L842" s="225"/>
      <c r="M842" s="225"/>
      <c r="N842" s="225"/>
      <c r="O842" s="225"/>
      <c r="P842" s="225"/>
      <c r="Q842" s="225"/>
      <c r="R842" s="225"/>
      <c r="S842" s="225"/>
      <c r="T842" s="225"/>
      <c r="U842" s="225"/>
      <c r="V842" s="225"/>
      <c r="W842" s="225"/>
      <c r="X842" s="225"/>
    </row>
    <row r="843" spans="1:24" ht="14.25" x14ac:dyDescent="0.2">
      <c r="A843" s="225"/>
      <c r="B843" s="225"/>
      <c r="C843" s="225"/>
      <c r="D843" s="225"/>
      <c r="E843" s="225"/>
      <c r="F843" s="225"/>
      <c r="G843" s="225"/>
      <c r="H843" s="225"/>
      <c r="I843" s="225"/>
      <c r="J843" s="225"/>
      <c r="K843" s="225"/>
      <c r="L843" s="225"/>
      <c r="M843" s="225"/>
      <c r="N843" s="225"/>
      <c r="O843" s="225"/>
      <c r="P843" s="225"/>
      <c r="Q843" s="225"/>
      <c r="R843" s="225"/>
      <c r="S843" s="225"/>
      <c r="T843" s="225"/>
      <c r="U843" s="225"/>
      <c r="V843" s="225"/>
      <c r="W843" s="225"/>
      <c r="X843" s="225"/>
    </row>
    <row r="844" spans="1:24" ht="14.25" x14ac:dyDescent="0.2">
      <c r="A844" s="225"/>
      <c r="B844" s="225"/>
      <c r="C844" s="225"/>
      <c r="D844" s="225"/>
      <c r="E844" s="225"/>
      <c r="F844" s="225"/>
      <c r="G844" s="225"/>
      <c r="H844" s="225"/>
      <c r="I844" s="225"/>
      <c r="J844" s="225"/>
      <c r="K844" s="225"/>
      <c r="L844" s="225"/>
      <c r="M844" s="225"/>
      <c r="N844" s="225"/>
      <c r="O844" s="225"/>
      <c r="P844" s="225"/>
      <c r="Q844" s="225"/>
      <c r="R844" s="225"/>
      <c r="S844" s="225"/>
      <c r="T844" s="225"/>
      <c r="U844" s="225"/>
      <c r="V844" s="225"/>
      <c r="W844" s="225"/>
      <c r="X844" s="225"/>
    </row>
    <row r="845" spans="1:24" ht="14.25" x14ac:dyDescent="0.2">
      <c r="A845" s="225"/>
      <c r="B845" s="225"/>
      <c r="C845" s="225"/>
      <c r="D845" s="225"/>
      <c r="E845" s="225"/>
      <c r="F845" s="225"/>
      <c r="G845" s="225"/>
      <c r="H845" s="225"/>
      <c r="I845" s="225"/>
      <c r="J845" s="225"/>
      <c r="K845" s="225"/>
      <c r="L845" s="225"/>
      <c r="M845" s="225"/>
      <c r="N845" s="225"/>
      <c r="O845" s="225"/>
      <c r="P845" s="225"/>
      <c r="Q845" s="225"/>
      <c r="R845" s="225"/>
      <c r="S845" s="225"/>
      <c r="T845" s="225"/>
      <c r="U845" s="225"/>
      <c r="V845" s="225"/>
      <c r="W845" s="225"/>
      <c r="X845" s="225"/>
    </row>
    <row r="846" spans="1:24" ht="14.25" x14ac:dyDescent="0.2">
      <c r="A846" s="225"/>
      <c r="B846" s="225"/>
      <c r="C846" s="225"/>
      <c r="D846" s="225"/>
      <c r="E846" s="225"/>
      <c r="F846" s="225"/>
      <c r="G846" s="225"/>
      <c r="H846" s="225"/>
      <c r="I846" s="225"/>
      <c r="J846" s="225"/>
      <c r="K846" s="225"/>
      <c r="L846" s="225"/>
      <c r="M846" s="225"/>
      <c r="N846" s="225"/>
      <c r="O846" s="225"/>
      <c r="P846" s="225"/>
      <c r="Q846" s="225"/>
      <c r="R846" s="225"/>
      <c r="S846" s="225"/>
      <c r="T846" s="225"/>
      <c r="U846" s="225"/>
      <c r="V846" s="225"/>
      <c r="W846" s="225"/>
      <c r="X846" s="225"/>
    </row>
    <row r="847" spans="1:24" ht="14.25" x14ac:dyDescent="0.2">
      <c r="A847" s="225"/>
      <c r="B847" s="225"/>
      <c r="C847" s="225"/>
      <c r="D847" s="225"/>
      <c r="E847" s="225"/>
      <c r="F847" s="225"/>
      <c r="G847" s="225"/>
      <c r="H847" s="225"/>
      <c r="I847" s="225"/>
      <c r="J847" s="225"/>
      <c r="K847" s="225"/>
      <c r="L847" s="225"/>
      <c r="M847" s="225"/>
      <c r="N847" s="225"/>
      <c r="O847" s="225"/>
      <c r="P847" s="225"/>
      <c r="Q847" s="225"/>
      <c r="R847" s="225"/>
      <c r="S847" s="225"/>
      <c r="T847" s="225"/>
      <c r="U847" s="225"/>
      <c r="V847" s="225"/>
      <c r="W847" s="225"/>
      <c r="X847" s="225"/>
    </row>
    <row r="848" spans="1:24" ht="14.25" x14ac:dyDescent="0.2">
      <c r="A848" s="225"/>
      <c r="B848" s="225"/>
      <c r="C848" s="225"/>
      <c r="D848" s="225"/>
      <c r="E848" s="225"/>
      <c r="F848" s="225"/>
      <c r="G848" s="225"/>
      <c r="H848" s="225"/>
      <c r="I848" s="225"/>
      <c r="J848" s="225"/>
      <c r="K848" s="225"/>
      <c r="L848" s="225"/>
      <c r="M848" s="225"/>
      <c r="N848" s="225"/>
      <c r="O848" s="225"/>
      <c r="P848" s="225"/>
      <c r="Q848" s="225"/>
      <c r="R848" s="225"/>
      <c r="S848" s="225"/>
      <c r="T848" s="225"/>
      <c r="U848" s="225"/>
      <c r="V848" s="225"/>
      <c r="W848" s="225"/>
      <c r="X848" s="225"/>
    </row>
    <row r="849" spans="1:24" ht="14.25" x14ac:dyDescent="0.2">
      <c r="A849" s="225"/>
      <c r="B849" s="225"/>
      <c r="C849" s="225"/>
      <c r="D849" s="225"/>
      <c r="E849" s="225"/>
      <c r="F849" s="225"/>
      <c r="G849" s="225"/>
      <c r="H849" s="225"/>
      <c r="I849" s="225"/>
      <c r="J849" s="225"/>
      <c r="K849" s="225"/>
      <c r="L849" s="225"/>
      <c r="M849" s="225"/>
      <c r="N849" s="225"/>
      <c r="O849" s="225"/>
      <c r="P849" s="225"/>
      <c r="Q849" s="225"/>
      <c r="R849" s="225"/>
      <c r="S849" s="225"/>
      <c r="T849" s="225"/>
      <c r="U849" s="225"/>
      <c r="V849" s="225"/>
      <c r="W849" s="225"/>
      <c r="X849" s="225"/>
    </row>
    <row r="850" spans="1:24" ht="14.25" x14ac:dyDescent="0.2">
      <c r="A850" s="225"/>
      <c r="B850" s="225"/>
      <c r="C850" s="225"/>
      <c r="D850" s="225"/>
      <c r="E850" s="225"/>
      <c r="F850" s="225"/>
      <c r="G850" s="225"/>
      <c r="H850" s="225"/>
      <c r="I850" s="225"/>
      <c r="J850" s="225"/>
      <c r="K850" s="225"/>
      <c r="L850" s="225"/>
      <c r="M850" s="225"/>
      <c r="N850" s="225"/>
      <c r="O850" s="225"/>
      <c r="P850" s="225"/>
      <c r="Q850" s="225"/>
      <c r="R850" s="225"/>
      <c r="S850" s="225"/>
      <c r="T850" s="225"/>
      <c r="U850" s="225"/>
      <c r="V850" s="225"/>
      <c r="W850" s="225"/>
      <c r="X850" s="225"/>
    </row>
    <row r="851" spans="1:24" ht="14.25" x14ac:dyDescent="0.2">
      <c r="A851" s="225"/>
      <c r="B851" s="225"/>
      <c r="C851" s="225"/>
      <c r="D851" s="225"/>
      <c r="E851" s="225"/>
      <c r="F851" s="225"/>
      <c r="G851" s="225"/>
      <c r="H851" s="225"/>
      <c r="I851" s="225"/>
      <c r="J851" s="225"/>
      <c r="K851" s="225"/>
      <c r="L851" s="225"/>
      <c r="M851" s="225"/>
      <c r="N851" s="225"/>
      <c r="O851" s="225"/>
      <c r="P851" s="225"/>
      <c r="Q851" s="225"/>
      <c r="R851" s="225"/>
      <c r="S851" s="225"/>
      <c r="T851" s="225"/>
      <c r="U851" s="225"/>
      <c r="V851" s="225"/>
      <c r="W851" s="225"/>
      <c r="X851" s="225"/>
    </row>
    <row r="852" spans="1:24" ht="14.25" x14ac:dyDescent="0.2">
      <c r="A852" s="225"/>
      <c r="B852" s="225"/>
      <c r="C852" s="225"/>
      <c r="D852" s="225"/>
      <c r="E852" s="225"/>
      <c r="F852" s="225"/>
      <c r="G852" s="225"/>
      <c r="H852" s="225"/>
      <c r="I852" s="225"/>
      <c r="J852" s="225"/>
      <c r="K852" s="225"/>
      <c r="L852" s="225"/>
      <c r="M852" s="225"/>
      <c r="N852" s="225"/>
      <c r="O852" s="225"/>
      <c r="P852" s="225"/>
      <c r="Q852" s="225"/>
      <c r="R852" s="225"/>
      <c r="S852" s="225"/>
      <c r="T852" s="225"/>
      <c r="U852" s="225"/>
      <c r="V852" s="225"/>
      <c r="W852" s="225"/>
      <c r="X852" s="225"/>
    </row>
    <row r="853" spans="1:24" ht="14.25" x14ac:dyDescent="0.2">
      <c r="A853" s="225"/>
      <c r="B853" s="225"/>
      <c r="C853" s="225"/>
      <c r="D853" s="225"/>
      <c r="E853" s="225"/>
      <c r="F853" s="225"/>
      <c r="G853" s="225"/>
      <c r="H853" s="225"/>
      <c r="I853" s="225"/>
      <c r="J853" s="225"/>
      <c r="K853" s="225"/>
      <c r="L853" s="225"/>
      <c r="M853" s="225"/>
      <c r="N853" s="225"/>
      <c r="O853" s="225"/>
      <c r="P853" s="225"/>
      <c r="Q853" s="225"/>
      <c r="R853" s="225"/>
      <c r="S853" s="225"/>
      <c r="T853" s="225"/>
      <c r="U853" s="225"/>
      <c r="V853" s="225"/>
      <c r="W853" s="225"/>
      <c r="X853" s="225"/>
    </row>
    <row r="854" spans="1:24" ht="14.25" x14ac:dyDescent="0.2">
      <c r="A854" s="225"/>
      <c r="B854" s="225"/>
      <c r="C854" s="225"/>
      <c r="D854" s="225"/>
      <c r="E854" s="225"/>
      <c r="F854" s="225"/>
      <c r="G854" s="225"/>
      <c r="H854" s="225"/>
      <c r="I854" s="225"/>
      <c r="J854" s="225"/>
      <c r="K854" s="225"/>
      <c r="L854" s="225"/>
      <c r="M854" s="225"/>
      <c r="N854" s="225"/>
      <c r="O854" s="225"/>
      <c r="P854" s="225"/>
      <c r="Q854" s="225"/>
      <c r="R854" s="225"/>
      <c r="S854" s="225"/>
      <c r="T854" s="225"/>
      <c r="U854" s="225"/>
      <c r="V854" s="225"/>
      <c r="W854" s="225"/>
      <c r="X854" s="225"/>
    </row>
    <row r="855" spans="1:24" ht="14.25" x14ac:dyDescent="0.2">
      <c r="A855" s="225"/>
      <c r="B855" s="225"/>
      <c r="C855" s="225"/>
      <c r="D855" s="225"/>
      <c r="E855" s="225"/>
      <c r="F855" s="225"/>
      <c r="G855" s="225"/>
      <c r="H855" s="225"/>
      <c r="I855" s="225"/>
      <c r="J855" s="225"/>
      <c r="K855" s="225"/>
      <c r="L855" s="225"/>
      <c r="M855" s="225"/>
      <c r="N855" s="225"/>
      <c r="O855" s="225"/>
      <c r="P855" s="225"/>
      <c r="Q855" s="225"/>
      <c r="R855" s="225"/>
      <c r="S855" s="225"/>
      <c r="T855" s="225"/>
      <c r="U855" s="225"/>
      <c r="V855" s="225"/>
      <c r="W855" s="225"/>
      <c r="X855" s="225"/>
    </row>
    <row r="856" spans="1:24" ht="14.25" x14ac:dyDescent="0.2">
      <c r="A856" s="225"/>
      <c r="B856" s="225"/>
      <c r="C856" s="225"/>
      <c r="D856" s="225"/>
      <c r="E856" s="225"/>
      <c r="F856" s="225"/>
      <c r="G856" s="225"/>
      <c r="H856" s="225"/>
      <c r="I856" s="225"/>
      <c r="J856" s="225"/>
      <c r="K856" s="225"/>
      <c r="L856" s="225"/>
      <c r="M856" s="225"/>
      <c r="N856" s="225"/>
      <c r="O856" s="225"/>
      <c r="P856" s="225"/>
      <c r="Q856" s="225"/>
      <c r="R856" s="225"/>
      <c r="S856" s="225"/>
      <c r="T856" s="225"/>
      <c r="U856" s="225"/>
      <c r="V856" s="225"/>
      <c r="W856" s="225"/>
      <c r="X856" s="225"/>
    </row>
    <row r="857" spans="1:24" ht="14.25" x14ac:dyDescent="0.2">
      <c r="A857" s="225"/>
      <c r="B857" s="225"/>
      <c r="C857" s="225"/>
      <c r="D857" s="225"/>
      <c r="E857" s="225"/>
      <c r="F857" s="225"/>
      <c r="G857" s="225"/>
      <c r="H857" s="225"/>
      <c r="I857" s="225"/>
      <c r="J857" s="225"/>
      <c r="K857" s="225"/>
      <c r="L857" s="225"/>
      <c r="M857" s="225"/>
      <c r="N857" s="225"/>
      <c r="O857" s="225"/>
      <c r="P857" s="225"/>
      <c r="Q857" s="225"/>
      <c r="R857" s="225"/>
      <c r="S857" s="225"/>
      <c r="T857" s="225"/>
      <c r="U857" s="225"/>
      <c r="V857" s="225"/>
      <c r="W857" s="225"/>
      <c r="X857" s="225"/>
    </row>
    <row r="858" spans="1:24" ht="14.25" x14ac:dyDescent="0.2">
      <c r="A858" s="225"/>
      <c r="B858" s="225"/>
      <c r="C858" s="225"/>
      <c r="D858" s="225"/>
      <c r="E858" s="225"/>
      <c r="F858" s="225"/>
      <c r="G858" s="225"/>
      <c r="H858" s="225"/>
      <c r="I858" s="225"/>
      <c r="J858" s="225"/>
      <c r="K858" s="225"/>
      <c r="L858" s="225"/>
      <c r="M858" s="225"/>
      <c r="N858" s="225"/>
      <c r="O858" s="225"/>
      <c r="P858" s="225"/>
      <c r="Q858" s="225"/>
      <c r="R858" s="225"/>
      <c r="S858" s="225"/>
      <c r="T858" s="225"/>
      <c r="U858" s="225"/>
      <c r="V858" s="225"/>
      <c r="W858" s="225"/>
      <c r="X858" s="225"/>
    </row>
    <row r="859" spans="1:24" ht="14.25" x14ac:dyDescent="0.2">
      <c r="A859" s="225"/>
      <c r="B859" s="225"/>
      <c r="C859" s="225"/>
      <c r="D859" s="225"/>
      <c r="E859" s="225"/>
      <c r="F859" s="225"/>
      <c r="G859" s="225"/>
      <c r="H859" s="225"/>
      <c r="I859" s="225"/>
      <c r="J859" s="225"/>
      <c r="K859" s="225"/>
      <c r="L859" s="225"/>
      <c r="M859" s="225"/>
      <c r="N859" s="225"/>
      <c r="O859" s="225"/>
      <c r="P859" s="225"/>
      <c r="Q859" s="225"/>
      <c r="R859" s="225"/>
      <c r="S859" s="225"/>
      <c r="T859" s="225"/>
      <c r="U859" s="225"/>
      <c r="V859" s="225"/>
      <c r="W859" s="225"/>
      <c r="X859" s="225"/>
    </row>
    <row r="860" spans="1:24" ht="14.25" x14ac:dyDescent="0.2">
      <c r="A860" s="225"/>
      <c r="B860" s="225"/>
      <c r="C860" s="225"/>
      <c r="D860" s="225"/>
      <c r="E860" s="225"/>
      <c r="F860" s="225"/>
      <c r="G860" s="225"/>
      <c r="H860" s="225"/>
      <c r="I860" s="225"/>
      <c r="J860" s="225"/>
      <c r="K860" s="225"/>
      <c r="L860" s="225"/>
      <c r="M860" s="225"/>
      <c r="N860" s="225"/>
      <c r="O860" s="225"/>
      <c r="P860" s="225"/>
      <c r="Q860" s="225"/>
      <c r="R860" s="225"/>
      <c r="S860" s="225"/>
      <c r="T860" s="225"/>
      <c r="U860" s="225"/>
      <c r="V860" s="225"/>
      <c r="W860" s="225"/>
      <c r="X860" s="225"/>
    </row>
    <row r="861" spans="1:24" ht="14.25" x14ac:dyDescent="0.2">
      <c r="A861" s="225"/>
      <c r="B861" s="225"/>
      <c r="C861" s="225"/>
      <c r="D861" s="225"/>
      <c r="E861" s="225"/>
      <c r="F861" s="225"/>
      <c r="G861" s="225"/>
      <c r="H861" s="225"/>
      <c r="I861" s="225"/>
      <c r="J861" s="225"/>
      <c r="K861" s="225"/>
      <c r="L861" s="225"/>
      <c r="M861" s="225"/>
      <c r="N861" s="225"/>
      <c r="O861" s="225"/>
      <c r="P861" s="225"/>
      <c r="Q861" s="225"/>
      <c r="R861" s="225"/>
      <c r="S861" s="225"/>
      <c r="T861" s="225"/>
      <c r="U861" s="225"/>
      <c r="V861" s="225"/>
      <c r="W861" s="225"/>
      <c r="X861" s="225"/>
    </row>
    <row r="862" spans="1:24" ht="14.25" x14ac:dyDescent="0.2">
      <c r="A862" s="225"/>
      <c r="B862" s="225"/>
      <c r="C862" s="225"/>
      <c r="D862" s="225"/>
      <c r="E862" s="225"/>
      <c r="F862" s="225"/>
      <c r="G862" s="225"/>
      <c r="H862" s="225"/>
      <c r="I862" s="225"/>
      <c r="J862" s="225"/>
      <c r="K862" s="225"/>
      <c r="L862" s="225"/>
      <c r="M862" s="225"/>
      <c r="N862" s="225"/>
      <c r="O862" s="225"/>
      <c r="P862" s="225"/>
      <c r="Q862" s="225"/>
      <c r="R862" s="225"/>
      <c r="S862" s="225"/>
      <c r="T862" s="225"/>
      <c r="U862" s="225"/>
      <c r="V862" s="225"/>
      <c r="W862" s="225"/>
      <c r="X862" s="225"/>
    </row>
    <row r="863" spans="1:24" ht="14.25" x14ac:dyDescent="0.2">
      <c r="A863" s="225"/>
      <c r="B863" s="225"/>
      <c r="C863" s="225"/>
      <c r="D863" s="225"/>
      <c r="E863" s="225"/>
      <c r="F863" s="225"/>
      <c r="G863" s="225"/>
      <c r="H863" s="225"/>
      <c r="I863" s="225"/>
      <c r="J863" s="225"/>
      <c r="K863" s="225"/>
      <c r="L863" s="225"/>
      <c r="M863" s="225"/>
      <c r="N863" s="225"/>
      <c r="O863" s="225"/>
      <c r="P863" s="225"/>
      <c r="Q863" s="225"/>
      <c r="R863" s="225"/>
      <c r="S863" s="225"/>
      <c r="T863" s="225"/>
      <c r="U863" s="225"/>
      <c r="V863" s="225"/>
      <c r="W863" s="225"/>
      <c r="X863" s="225"/>
    </row>
    <row r="864" spans="1:24" ht="14.25" x14ac:dyDescent="0.2">
      <c r="A864" s="225"/>
      <c r="B864" s="225"/>
      <c r="C864" s="225"/>
      <c r="D864" s="225"/>
      <c r="E864" s="225"/>
      <c r="F864" s="225"/>
      <c r="G864" s="225"/>
      <c r="H864" s="225"/>
      <c r="I864" s="225"/>
      <c r="J864" s="225"/>
      <c r="K864" s="225"/>
      <c r="L864" s="225"/>
      <c r="M864" s="225"/>
      <c r="N864" s="225"/>
      <c r="O864" s="225"/>
      <c r="P864" s="225"/>
      <c r="Q864" s="225"/>
      <c r="R864" s="225"/>
      <c r="S864" s="225"/>
      <c r="T864" s="225"/>
      <c r="U864" s="225"/>
      <c r="V864" s="225"/>
      <c r="W864" s="225"/>
      <c r="X864" s="225"/>
    </row>
    <row r="865" spans="1:24" ht="14.25" x14ac:dyDescent="0.2">
      <c r="A865" s="225"/>
      <c r="B865" s="225"/>
      <c r="C865" s="225"/>
      <c r="D865" s="225"/>
      <c r="E865" s="225"/>
      <c r="F865" s="225"/>
      <c r="G865" s="225"/>
      <c r="H865" s="225"/>
      <c r="I865" s="225"/>
      <c r="J865" s="225"/>
      <c r="K865" s="225"/>
      <c r="L865" s="225"/>
      <c r="M865" s="225"/>
      <c r="N865" s="225"/>
      <c r="O865" s="225"/>
      <c r="P865" s="225"/>
      <c r="Q865" s="225"/>
      <c r="R865" s="225"/>
      <c r="S865" s="225"/>
      <c r="T865" s="225"/>
      <c r="U865" s="225"/>
      <c r="V865" s="225"/>
      <c r="W865" s="225"/>
      <c r="X865" s="225"/>
    </row>
    <row r="866" spans="1:24" ht="14.25" x14ac:dyDescent="0.2">
      <c r="A866" s="225"/>
      <c r="B866" s="225"/>
      <c r="C866" s="225"/>
      <c r="D866" s="225"/>
      <c r="E866" s="225"/>
      <c r="F866" s="225"/>
      <c r="G866" s="225"/>
      <c r="H866" s="225"/>
      <c r="I866" s="225"/>
      <c r="J866" s="225"/>
      <c r="K866" s="225"/>
      <c r="L866" s="225"/>
      <c r="M866" s="225"/>
      <c r="N866" s="225"/>
      <c r="O866" s="225"/>
      <c r="P866" s="225"/>
      <c r="Q866" s="225"/>
      <c r="R866" s="225"/>
      <c r="S866" s="225"/>
      <c r="T866" s="225"/>
      <c r="U866" s="225"/>
      <c r="V866" s="225"/>
      <c r="W866" s="225"/>
      <c r="X866" s="225"/>
    </row>
    <row r="867" spans="1:24" ht="14.25" x14ac:dyDescent="0.2">
      <c r="A867" s="225"/>
      <c r="B867" s="225"/>
      <c r="C867" s="225"/>
      <c r="D867" s="225"/>
      <c r="E867" s="225"/>
      <c r="F867" s="225"/>
      <c r="G867" s="225"/>
      <c r="H867" s="225"/>
      <c r="I867" s="225"/>
      <c r="J867" s="225"/>
      <c r="K867" s="225"/>
      <c r="L867" s="225"/>
      <c r="M867" s="225"/>
      <c r="N867" s="225"/>
      <c r="O867" s="225"/>
      <c r="P867" s="225"/>
      <c r="Q867" s="225"/>
      <c r="R867" s="225"/>
      <c r="S867" s="225"/>
      <c r="T867" s="225"/>
      <c r="U867" s="225"/>
      <c r="V867" s="225"/>
      <c r="W867" s="225"/>
      <c r="X867" s="225"/>
    </row>
    <row r="868" spans="1:24" ht="14.25" x14ac:dyDescent="0.2">
      <c r="A868" s="225"/>
      <c r="B868" s="225"/>
      <c r="C868" s="225"/>
      <c r="D868" s="225"/>
      <c r="E868" s="225"/>
      <c r="F868" s="225"/>
      <c r="G868" s="225"/>
      <c r="H868" s="225"/>
      <c r="I868" s="225"/>
      <c r="J868" s="225"/>
      <c r="K868" s="225"/>
      <c r="L868" s="225"/>
      <c r="M868" s="225"/>
      <c r="N868" s="225"/>
      <c r="O868" s="225"/>
      <c r="P868" s="225"/>
      <c r="Q868" s="225"/>
      <c r="R868" s="225"/>
      <c r="S868" s="225"/>
      <c r="T868" s="225"/>
      <c r="U868" s="225"/>
      <c r="V868" s="225"/>
      <c r="W868" s="225"/>
      <c r="X868" s="225"/>
    </row>
    <row r="869" spans="1:24" ht="14.25" x14ac:dyDescent="0.2">
      <c r="A869" s="225"/>
      <c r="B869" s="225"/>
      <c r="C869" s="225"/>
      <c r="D869" s="225"/>
      <c r="E869" s="225"/>
      <c r="F869" s="225"/>
      <c r="G869" s="225"/>
      <c r="H869" s="225"/>
      <c r="I869" s="225"/>
      <c r="J869" s="225"/>
      <c r="K869" s="225"/>
      <c r="L869" s="225"/>
      <c r="M869" s="225"/>
      <c r="N869" s="225"/>
      <c r="O869" s="225"/>
      <c r="P869" s="225"/>
      <c r="Q869" s="225"/>
      <c r="R869" s="225"/>
      <c r="S869" s="225"/>
      <c r="T869" s="225"/>
      <c r="U869" s="225"/>
      <c r="V869" s="225"/>
      <c r="W869" s="225"/>
      <c r="X869" s="225"/>
    </row>
    <row r="870" spans="1:24" ht="14.25" x14ac:dyDescent="0.2">
      <c r="A870" s="225"/>
      <c r="B870" s="225"/>
      <c r="C870" s="225"/>
      <c r="D870" s="225"/>
      <c r="E870" s="225"/>
      <c r="F870" s="225"/>
      <c r="G870" s="225"/>
      <c r="H870" s="225"/>
      <c r="I870" s="225"/>
      <c r="J870" s="225"/>
      <c r="K870" s="225"/>
      <c r="L870" s="225"/>
      <c r="M870" s="225"/>
      <c r="N870" s="225"/>
      <c r="O870" s="225"/>
      <c r="P870" s="225"/>
      <c r="Q870" s="225"/>
      <c r="R870" s="225"/>
      <c r="S870" s="225"/>
      <c r="T870" s="225"/>
      <c r="U870" s="225"/>
      <c r="V870" s="225"/>
      <c r="W870" s="225"/>
      <c r="X870" s="225"/>
    </row>
    <row r="871" spans="1:24" ht="14.25" x14ac:dyDescent="0.2">
      <c r="A871" s="225"/>
      <c r="B871" s="225"/>
      <c r="C871" s="225"/>
      <c r="D871" s="225"/>
      <c r="E871" s="225"/>
      <c r="F871" s="225"/>
      <c r="G871" s="225"/>
      <c r="H871" s="225"/>
      <c r="I871" s="225"/>
      <c r="J871" s="225"/>
      <c r="K871" s="225"/>
      <c r="L871" s="225"/>
      <c r="M871" s="225"/>
      <c r="N871" s="225"/>
      <c r="O871" s="225"/>
      <c r="P871" s="225"/>
      <c r="Q871" s="225"/>
      <c r="R871" s="225"/>
      <c r="S871" s="225"/>
      <c r="T871" s="225"/>
      <c r="U871" s="225"/>
      <c r="V871" s="225"/>
      <c r="W871" s="225"/>
      <c r="X871" s="225"/>
    </row>
    <row r="872" spans="1:24" ht="14.25" x14ac:dyDescent="0.2">
      <c r="A872" s="225"/>
      <c r="B872" s="225"/>
      <c r="C872" s="225"/>
      <c r="D872" s="225"/>
      <c r="E872" s="225"/>
      <c r="F872" s="225"/>
      <c r="G872" s="225"/>
      <c r="H872" s="225"/>
      <c r="I872" s="225"/>
      <c r="J872" s="225"/>
      <c r="K872" s="225"/>
      <c r="L872" s="225"/>
      <c r="M872" s="225"/>
      <c r="N872" s="225"/>
      <c r="O872" s="225"/>
      <c r="P872" s="225"/>
      <c r="Q872" s="225"/>
      <c r="R872" s="225"/>
      <c r="S872" s="225"/>
      <c r="T872" s="225"/>
      <c r="U872" s="225"/>
      <c r="V872" s="225"/>
      <c r="W872" s="225"/>
      <c r="X872" s="225"/>
    </row>
    <row r="873" spans="1:24" ht="14.25" x14ac:dyDescent="0.2">
      <c r="A873" s="225"/>
      <c r="B873" s="225"/>
      <c r="C873" s="225"/>
      <c r="D873" s="225"/>
      <c r="E873" s="225"/>
      <c r="F873" s="225"/>
      <c r="G873" s="225"/>
      <c r="H873" s="225"/>
      <c r="I873" s="225"/>
      <c r="J873" s="225"/>
      <c r="K873" s="225"/>
      <c r="L873" s="225"/>
      <c r="M873" s="225"/>
      <c r="N873" s="225"/>
      <c r="O873" s="225"/>
      <c r="P873" s="225"/>
      <c r="Q873" s="225"/>
      <c r="R873" s="225"/>
      <c r="S873" s="225"/>
      <c r="T873" s="225"/>
      <c r="U873" s="225"/>
      <c r="V873" s="225"/>
      <c r="W873" s="225"/>
      <c r="X873" s="225"/>
    </row>
    <row r="874" spans="1:24" ht="14.25" x14ac:dyDescent="0.2">
      <c r="A874" s="225"/>
      <c r="B874" s="225"/>
      <c r="C874" s="225"/>
      <c r="D874" s="225"/>
      <c r="E874" s="225"/>
      <c r="F874" s="225"/>
      <c r="G874" s="225"/>
      <c r="H874" s="225"/>
      <c r="I874" s="225"/>
      <c r="J874" s="225"/>
      <c r="K874" s="225"/>
      <c r="L874" s="225"/>
      <c r="M874" s="225"/>
      <c r="N874" s="225"/>
      <c r="O874" s="225"/>
      <c r="P874" s="225"/>
      <c r="Q874" s="225"/>
      <c r="R874" s="225"/>
      <c r="S874" s="225"/>
      <c r="T874" s="225"/>
      <c r="U874" s="225"/>
      <c r="V874" s="225"/>
      <c r="W874" s="225"/>
      <c r="X874" s="225"/>
    </row>
    <row r="875" spans="1:24" ht="14.25" x14ac:dyDescent="0.2">
      <c r="A875" s="225"/>
      <c r="B875" s="225"/>
      <c r="C875" s="225"/>
      <c r="D875" s="225"/>
      <c r="E875" s="225"/>
      <c r="F875" s="225"/>
      <c r="G875" s="225"/>
      <c r="H875" s="225"/>
      <c r="I875" s="225"/>
      <c r="J875" s="225"/>
      <c r="K875" s="225"/>
      <c r="L875" s="225"/>
      <c r="M875" s="225"/>
      <c r="N875" s="225"/>
      <c r="O875" s="225"/>
      <c r="P875" s="225"/>
      <c r="Q875" s="225"/>
      <c r="R875" s="225"/>
      <c r="S875" s="225"/>
      <c r="T875" s="225"/>
      <c r="U875" s="225"/>
      <c r="V875" s="225"/>
      <c r="W875" s="225"/>
      <c r="X875" s="225"/>
    </row>
    <row r="876" spans="1:24" ht="14.25" x14ac:dyDescent="0.2">
      <c r="A876" s="225"/>
      <c r="B876" s="225"/>
      <c r="C876" s="225"/>
      <c r="D876" s="225"/>
      <c r="E876" s="225"/>
      <c r="F876" s="225"/>
      <c r="G876" s="225"/>
      <c r="H876" s="225"/>
      <c r="I876" s="225"/>
      <c r="J876" s="225"/>
      <c r="K876" s="225"/>
      <c r="L876" s="225"/>
      <c r="M876" s="225"/>
      <c r="N876" s="225"/>
      <c r="O876" s="225"/>
      <c r="P876" s="225"/>
      <c r="Q876" s="225"/>
      <c r="R876" s="225"/>
      <c r="S876" s="225"/>
      <c r="T876" s="225"/>
      <c r="U876" s="225"/>
      <c r="V876" s="225"/>
      <c r="W876" s="225"/>
      <c r="X876" s="225"/>
    </row>
    <row r="877" spans="1:24" ht="14.25" x14ac:dyDescent="0.2">
      <c r="A877" s="225"/>
      <c r="B877" s="225"/>
      <c r="C877" s="225"/>
      <c r="D877" s="225"/>
      <c r="E877" s="225"/>
      <c r="F877" s="225"/>
      <c r="G877" s="225"/>
      <c r="H877" s="225"/>
      <c r="I877" s="225"/>
      <c r="J877" s="225"/>
      <c r="K877" s="225"/>
      <c r="L877" s="225"/>
      <c r="M877" s="225"/>
      <c r="N877" s="225"/>
      <c r="O877" s="225"/>
      <c r="P877" s="225"/>
      <c r="Q877" s="225"/>
      <c r="R877" s="225"/>
      <c r="S877" s="225"/>
      <c r="T877" s="225"/>
      <c r="U877" s="225"/>
      <c r="V877" s="225"/>
      <c r="W877" s="225"/>
      <c r="X877" s="225"/>
    </row>
    <row r="878" spans="1:24" ht="14.25" x14ac:dyDescent="0.2">
      <c r="A878" s="225"/>
      <c r="B878" s="225"/>
      <c r="C878" s="225"/>
      <c r="D878" s="225"/>
      <c r="E878" s="225"/>
      <c r="F878" s="225"/>
      <c r="G878" s="225"/>
      <c r="H878" s="225"/>
      <c r="I878" s="225"/>
      <c r="J878" s="225"/>
      <c r="K878" s="225"/>
      <c r="L878" s="225"/>
      <c r="M878" s="225"/>
      <c r="N878" s="225"/>
      <c r="O878" s="225"/>
      <c r="P878" s="225"/>
      <c r="Q878" s="225"/>
      <c r="R878" s="225"/>
      <c r="S878" s="225"/>
      <c r="T878" s="225"/>
      <c r="U878" s="225"/>
      <c r="V878" s="225"/>
      <c r="W878" s="225"/>
      <c r="X878" s="225"/>
    </row>
    <row r="879" spans="1:24" ht="14.25" x14ac:dyDescent="0.2">
      <c r="A879" s="225"/>
      <c r="B879" s="225"/>
      <c r="C879" s="225"/>
      <c r="D879" s="225"/>
      <c r="E879" s="225"/>
      <c r="F879" s="225"/>
      <c r="G879" s="225"/>
      <c r="H879" s="225"/>
      <c r="I879" s="225"/>
      <c r="J879" s="225"/>
      <c r="K879" s="225"/>
      <c r="L879" s="225"/>
      <c r="M879" s="225"/>
      <c r="N879" s="225"/>
      <c r="O879" s="225"/>
      <c r="P879" s="225"/>
      <c r="Q879" s="225"/>
      <c r="R879" s="225"/>
      <c r="S879" s="225"/>
      <c r="T879" s="225"/>
      <c r="U879" s="225"/>
      <c r="V879" s="225"/>
      <c r="W879" s="225"/>
      <c r="X879" s="225"/>
    </row>
    <row r="880" spans="1:24" ht="14.25" x14ac:dyDescent="0.2">
      <c r="A880" s="225"/>
      <c r="B880" s="225"/>
      <c r="C880" s="225"/>
      <c r="D880" s="225"/>
      <c r="E880" s="225"/>
      <c r="F880" s="225"/>
      <c r="G880" s="225"/>
      <c r="H880" s="225"/>
      <c r="I880" s="225"/>
      <c r="J880" s="225"/>
      <c r="K880" s="225"/>
      <c r="L880" s="225"/>
      <c r="M880" s="225"/>
      <c r="N880" s="225"/>
      <c r="O880" s="225"/>
      <c r="P880" s="225"/>
      <c r="Q880" s="225"/>
      <c r="R880" s="225"/>
      <c r="S880" s="225"/>
      <c r="T880" s="225"/>
      <c r="U880" s="225"/>
      <c r="V880" s="225"/>
      <c r="W880" s="225"/>
      <c r="X880" s="225"/>
    </row>
    <row r="881" spans="1:24" ht="14.25" x14ac:dyDescent="0.2">
      <c r="A881" s="225"/>
      <c r="B881" s="225"/>
      <c r="C881" s="225"/>
      <c r="D881" s="225"/>
      <c r="E881" s="225"/>
      <c r="F881" s="225"/>
      <c r="G881" s="225"/>
      <c r="H881" s="225"/>
      <c r="I881" s="225"/>
      <c r="J881" s="225"/>
      <c r="K881" s="225"/>
      <c r="L881" s="225"/>
      <c r="M881" s="225"/>
      <c r="N881" s="225"/>
      <c r="O881" s="225"/>
      <c r="P881" s="225"/>
      <c r="Q881" s="225"/>
      <c r="R881" s="225"/>
      <c r="S881" s="225"/>
      <c r="T881" s="225"/>
      <c r="U881" s="225"/>
      <c r="V881" s="225"/>
      <c r="W881" s="225"/>
      <c r="X881" s="225"/>
    </row>
    <row r="882" spans="1:24" ht="14.25" x14ac:dyDescent="0.2">
      <c r="A882" s="225"/>
      <c r="B882" s="225"/>
      <c r="C882" s="225"/>
      <c r="D882" s="225"/>
      <c r="E882" s="225"/>
      <c r="F882" s="225"/>
      <c r="G882" s="225"/>
      <c r="H882" s="225"/>
      <c r="I882" s="225"/>
      <c r="J882" s="225"/>
      <c r="K882" s="225"/>
      <c r="L882" s="225"/>
      <c r="M882" s="225"/>
      <c r="N882" s="225"/>
      <c r="O882" s="225"/>
      <c r="P882" s="225"/>
      <c r="Q882" s="225"/>
      <c r="R882" s="225"/>
      <c r="S882" s="225"/>
      <c r="T882" s="225"/>
      <c r="U882" s="225"/>
      <c r="V882" s="225"/>
      <c r="W882" s="225"/>
      <c r="X882" s="225"/>
    </row>
    <row r="883" spans="1:24" ht="14.25" x14ac:dyDescent="0.2">
      <c r="A883" s="225"/>
      <c r="B883" s="225"/>
      <c r="C883" s="225"/>
      <c r="D883" s="225"/>
      <c r="E883" s="225"/>
      <c r="F883" s="225"/>
      <c r="G883" s="225"/>
      <c r="H883" s="225"/>
      <c r="I883" s="225"/>
      <c r="J883" s="225"/>
      <c r="K883" s="225"/>
      <c r="L883" s="225"/>
      <c r="M883" s="225"/>
      <c r="N883" s="225"/>
      <c r="O883" s="225"/>
      <c r="P883" s="225"/>
      <c r="Q883" s="225"/>
      <c r="R883" s="225"/>
      <c r="S883" s="225"/>
      <c r="T883" s="225"/>
      <c r="U883" s="225"/>
      <c r="V883" s="225"/>
      <c r="W883" s="225"/>
      <c r="X883" s="225"/>
    </row>
    <row r="884" spans="1:24" ht="14.25" x14ac:dyDescent="0.2">
      <c r="A884" s="225"/>
      <c r="B884" s="225"/>
      <c r="C884" s="225"/>
      <c r="D884" s="225"/>
      <c r="E884" s="225"/>
      <c r="F884" s="225"/>
      <c r="G884" s="225"/>
      <c r="H884" s="225"/>
      <c r="I884" s="225"/>
      <c r="J884" s="225"/>
      <c r="K884" s="225"/>
      <c r="L884" s="225"/>
      <c r="M884" s="225"/>
      <c r="N884" s="225"/>
      <c r="O884" s="225"/>
      <c r="P884" s="225"/>
      <c r="Q884" s="225"/>
      <c r="R884" s="225"/>
      <c r="S884" s="225"/>
      <c r="T884" s="225"/>
      <c r="U884" s="225"/>
      <c r="V884" s="225"/>
      <c r="W884" s="225"/>
      <c r="X884" s="225"/>
    </row>
    <row r="885" spans="1:24" ht="14.25" x14ac:dyDescent="0.2">
      <c r="A885" s="225"/>
      <c r="B885" s="225"/>
      <c r="C885" s="225"/>
      <c r="D885" s="225"/>
      <c r="E885" s="225"/>
      <c r="F885" s="225"/>
      <c r="G885" s="225"/>
      <c r="H885" s="225"/>
      <c r="I885" s="225"/>
      <c r="J885" s="225"/>
      <c r="K885" s="225"/>
      <c r="L885" s="225"/>
      <c r="M885" s="225"/>
      <c r="N885" s="225"/>
      <c r="O885" s="225"/>
      <c r="P885" s="225"/>
      <c r="Q885" s="225"/>
      <c r="R885" s="225"/>
      <c r="S885" s="225"/>
      <c r="T885" s="225"/>
      <c r="U885" s="225"/>
      <c r="V885" s="225"/>
      <c r="W885" s="225"/>
      <c r="X885" s="225"/>
    </row>
    <row r="886" spans="1:24" ht="14.25" x14ac:dyDescent="0.2">
      <c r="A886" s="225"/>
      <c r="B886" s="225"/>
      <c r="C886" s="225"/>
      <c r="D886" s="225"/>
      <c r="E886" s="225"/>
      <c r="F886" s="225"/>
      <c r="G886" s="225"/>
      <c r="H886" s="225"/>
      <c r="I886" s="225"/>
      <c r="J886" s="225"/>
      <c r="K886" s="225"/>
      <c r="L886" s="225"/>
      <c r="M886" s="225"/>
      <c r="N886" s="225"/>
      <c r="O886" s="225"/>
      <c r="P886" s="225"/>
      <c r="Q886" s="225"/>
      <c r="R886" s="225"/>
      <c r="S886" s="225"/>
      <c r="T886" s="225"/>
      <c r="U886" s="225"/>
      <c r="V886" s="225"/>
      <c r="W886" s="225"/>
      <c r="X886" s="225"/>
    </row>
    <row r="887" spans="1:24" ht="14.25" x14ac:dyDescent="0.2">
      <c r="A887" s="225"/>
      <c r="B887" s="225"/>
      <c r="C887" s="225"/>
      <c r="D887" s="225"/>
      <c r="E887" s="225"/>
      <c r="F887" s="225"/>
      <c r="G887" s="225"/>
      <c r="H887" s="225"/>
      <c r="I887" s="225"/>
      <c r="J887" s="225"/>
      <c r="K887" s="225"/>
      <c r="L887" s="225"/>
      <c r="M887" s="225"/>
      <c r="N887" s="225"/>
      <c r="O887" s="225"/>
      <c r="P887" s="225"/>
      <c r="Q887" s="225"/>
      <c r="R887" s="225"/>
      <c r="S887" s="225"/>
      <c r="T887" s="225"/>
      <c r="U887" s="225"/>
      <c r="V887" s="225"/>
      <c r="W887" s="225"/>
      <c r="X887" s="225"/>
    </row>
    <row r="888" spans="1:24" ht="14.25" x14ac:dyDescent="0.2">
      <c r="A888" s="225"/>
      <c r="B888" s="225"/>
      <c r="C888" s="225"/>
      <c r="D888" s="225"/>
      <c r="E888" s="225"/>
      <c r="F888" s="225"/>
      <c r="G888" s="225"/>
      <c r="H888" s="225"/>
      <c r="I888" s="225"/>
      <c r="J888" s="225"/>
      <c r="K888" s="225"/>
      <c r="L888" s="225"/>
      <c r="M888" s="225"/>
      <c r="N888" s="225"/>
      <c r="O888" s="225"/>
      <c r="P888" s="225"/>
      <c r="Q888" s="225"/>
      <c r="R888" s="225"/>
      <c r="S888" s="225"/>
      <c r="T888" s="225"/>
      <c r="U888" s="225"/>
      <c r="V888" s="225"/>
      <c r="W888" s="225"/>
      <c r="X888" s="225"/>
    </row>
    <row r="889" spans="1:24" ht="14.25" x14ac:dyDescent="0.2">
      <c r="A889" s="225"/>
      <c r="B889" s="225"/>
      <c r="C889" s="225"/>
      <c r="D889" s="225"/>
      <c r="E889" s="225"/>
      <c r="F889" s="225"/>
      <c r="G889" s="225"/>
      <c r="H889" s="225"/>
      <c r="I889" s="225"/>
      <c r="J889" s="225"/>
      <c r="K889" s="225"/>
      <c r="L889" s="225"/>
      <c r="M889" s="225"/>
      <c r="N889" s="225"/>
      <c r="O889" s="225"/>
      <c r="P889" s="225"/>
      <c r="Q889" s="225"/>
      <c r="R889" s="225"/>
      <c r="S889" s="225"/>
      <c r="T889" s="225"/>
      <c r="U889" s="225"/>
      <c r="V889" s="225"/>
      <c r="W889" s="225"/>
      <c r="X889" s="225"/>
    </row>
    <row r="890" spans="1:24" ht="14.25" x14ac:dyDescent="0.2">
      <c r="A890" s="225"/>
      <c r="B890" s="225"/>
      <c r="C890" s="225"/>
      <c r="D890" s="225"/>
      <c r="E890" s="225"/>
      <c r="F890" s="225"/>
      <c r="G890" s="225"/>
      <c r="H890" s="225"/>
      <c r="I890" s="225"/>
      <c r="J890" s="225"/>
      <c r="K890" s="225"/>
      <c r="L890" s="225"/>
      <c r="M890" s="225"/>
      <c r="N890" s="225"/>
      <c r="O890" s="225"/>
      <c r="P890" s="225"/>
      <c r="Q890" s="225"/>
      <c r="R890" s="225"/>
      <c r="S890" s="225"/>
      <c r="T890" s="225"/>
      <c r="U890" s="225"/>
      <c r="V890" s="225"/>
      <c r="W890" s="225"/>
      <c r="X890" s="225"/>
    </row>
    <row r="891" spans="1:24" ht="14.25" x14ac:dyDescent="0.2">
      <c r="A891" s="225"/>
      <c r="B891" s="225"/>
      <c r="C891" s="225"/>
      <c r="D891" s="225"/>
      <c r="E891" s="225"/>
      <c r="F891" s="225"/>
      <c r="G891" s="225"/>
      <c r="H891" s="225"/>
      <c r="I891" s="225"/>
      <c r="J891" s="225"/>
      <c r="K891" s="225"/>
      <c r="L891" s="225"/>
      <c r="M891" s="225"/>
      <c r="N891" s="225"/>
      <c r="O891" s="225"/>
      <c r="P891" s="225"/>
      <c r="Q891" s="225"/>
      <c r="R891" s="225"/>
      <c r="S891" s="225"/>
      <c r="T891" s="225"/>
      <c r="U891" s="225"/>
      <c r="V891" s="225"/>
      <c r="W891" s="225"/>
      <c r="X891" s="225"/>
    </row>
    <row r="892" spans="1:24" ht="14.25" x14ac:dyDescent="0.2">
      <c r="A892" s="225"/>
      <c r="B892" s="225"/>
      <c r="C892" s="225"/>
      <c r="D892" s="225"/>
      <c r="E892" s="225"/>
      <c r="F892" s="225"/>
      <c r="G892" s="225"/>
      <c r="H892" s="225"/>
      <c r="I892" s="225"/>
      <c r="J892" s="225"/>
      <c r="K892" s="225"/>
      <c r="L892" s="225"/>
      <c r="M892" s="225"/>
      <c r="N892" s="225"/>
      <c r="O892" s="225"/>
      <c r="P892" s="225"/>
      <c r="Q892" s="225"/>
      <c r="R892" s="225"/>
      <c r="S892" s="225"/>
      <c r="T892" s="225"/>
      <c r="U892" s="225"/>
      <c r="V892" s="225"/>
      <c r="W892" s="225"/>
      <c r="X892" s="225"/>
    </row>
    <row r="893" spans="1:24" ht="14.25" x14ac:dyDescent="0.2">
      <c r="A893" s="225"/>
      <c r="B893" s="225"/>
      <c r="C893" s="225"/>
      <c r="D893" s="225"/>
      <c r="E893" s="225"/>
      <c r="F893" s="225"/>
      <c r="G893" s="225"/>
      <c r="H893" s="225"/>
      <c r="I893" s="225"/>
      <c r="J893" s="225"/>
      <c r="K893" s="225"/>
      <c r="L893" s="225"/>
      <c r="M893" s="225"/>
      <c r="N893" s="225"/>
      <c r="O893" s="225"/>
      <c r="P893" s="225"/>
      <c r="Q893" s="225"/>
      <c r="R893" s="225"/>
      <c r="S893" s="225"/>
      <c r="T893" s="225"/>
      <c r="U893" s="225"/>
      <c r="V893" s="225"/>
      <c r="W893" s="225"/>
      <c r="X893" s="225"/>
    </row>
    <row r="894" spans="1:24" ht="14.25" x14ac:dyDescent="0.2">
      <c r="A894" s="225"/>
      <c r="B894" s="225"/>
      <c r="C894" s="225"/>
      <c r="D894" s="225"/>
      <c r="E894" s="225"/>
      <c r="F894" s="225"/>
      <c r="G894" s="225"/>
      <c r="H894" s="225"/>
      <c r="I894" s="225"/>
      <c r="J894" s="225"/>
      <c r="K894" s="225"/>
      <c r="L894" s="225"/>
      <c r="M894" s="225"/>
      <c r="N894" s="225"/>
      <c r="O894" s="225"/>
      <c r="P894" s="225"/>
      <c r="Q894" s="225"/>
      <c r="R894" s="225"/>
      <c r="S894" s="225"/>
      <c r="T894" s="225"/>
      <c r="U894" s="225"/>
      <c r="V894" s="225"/>
      <c r="W894" s="225"/>
      <c r="X894" s="225"/>
    </row>
    <row r="895" spans="1:24" ht="14.25" x14ac:dyDescent="0.2">
      <c r="A895" s="225"/>
      <c r="B895" s="225"/>
      <c r="C895" s="225"/>
      <c r="D895" s="225"/>
      <c r="E895" s="225"/>
      <c r="F895" s="225"/>
      <c r="G895" s="225"/>
      <c r="H895" s="225"/>
      <c r="I895" s="225"/>
      <c r="J895" s="225"/>
      <c r="K895" s="225"/>
      <c r="L895" s="225"/>
      <c r="M895" s="225"/>
      <c r="N895" s="225"/>
      <c r="O895" s="225"/>
      <c r="P895" s="225"/>
      <c r="Q895" s="225"/>
      <c r="R895" s="225"/>
      <c r="S895" s="225"/>
      <c r="T895" s="225"/>
      <c r="U895" s="225"/>
      <c r="V895" s="225"/>
      <c r="W895" s="225"/>
      <c r="X895" s="225"/>
    </row>
    <row r="896" spans="1:24" ht="14.25" x14ac:dyDescent="0.2">
      <c r="A896" s="225"/>
      <c r="B896" s="225"/>
      <c r="C896" s="225"/>
      <c r="D896" s="225"/>
      <c r="E896" s="225"/>
      <c r="F896" s="225"/>
      <c r="G896" s="225"/>
      <c r="H896" s="225"/>
      <c r="I896" s="225"/>
      <c r="J896" s="225"/>
      <c r="K896" s="225"/>
      <c r="L896" s="225"/>
      <c r="M896" s="225"/>
      <c r="N896" s="225"/>
      <c r="O896" s="225"/>
      <c r="P896" s="225"/>
      <c r="Q896" s="225"/>
      <c r="R896" s="225"/>
      <c r="S896" s="225"/>
      <c r="T896" s="225"/>
      <c r="U896" s="225"/>
      <c r="V896" s="225"/>
      <c r="W896" s="225"/>
      <c r="X896" s="225"/>
    </row>
    <row r="897" spans="1:24" ht="14.25" x14ac:dyDescent="0.2">
      <c r="A897" s="225"/>
      <c r="B897" s="225"/>
      <c r="C897" s="225"/>
      <c r="D897" s="225"/>
      <c r="E897" s="225"/>
      <c r="F897" s="225"/>
      <c r="G897" s="225"/>
      <c r="H897" s="225"/>
      <c r="I897" s="225"/>
      <c r="J897" s="225"/>
      <c r="K897" s="225"/>
      <c r="L897" s="225"/>
      <c r="M897" s="225"/>
      <c r="N897" s="225"/>
      <c r="O897" s="225"/>
      <c r="P897" s="225"/>
      <c r="Q897" s="225"/>
      <c r="R897" s="225"/>
      <c r="S897" s="225"/>
      <c r="T897" s="225"/>
      <c r="U897" s="225"/>
      <c r="V897" s="225"/>
      <c r="W897" s="225"/>
      <c r="X897" s="225"/>
    </row>
    <row r="898" spans="1:24" ht="14.25" x14ac:dyDescent="0.2">
      <c r="A898" s="225"/>
      <c r="B898" s="225"/>
      <c r="C898" s="225"/>
      <c r="D898" s="225"/>
      <c r="E898" s="225"/>
      <c r="F898" s="225"/>
      <c r="G898" s="225"/>
      <c r="H898" s="225"/>
      <c r="I898" s="225"/>
      <c r="J898" s="225"/>
      <c r="K898" s="225"/>
      <c r="L898" s="225"/>
      <c r="M898" s="225"/>
      <c r="N898" s="225"/>
      <c r="O898" s="225"/>
      <c r="P898" s="225"/>
      <c r="Q898" s="225"/>
      <c r="R898" s="225"/>
      <c r="S898" s="225"/>
      <c r="T898" s="225"/>
      <c r="U898" s="225"/>
      <c r="V898" s="225"/>
      <c r="W898" s="225"/>
      <c r="X898" s="225"/>
    </row>
    <row r="899" spans="1:24" ht="14.25" x14ac:dyDescent="0.2">
      <c r="A899" s="225"/>
      <c r="B899" s="225"/>
      <c r="C899" s="225"/>
      <c r="D899" s="225"/>
      <c r="E899" s="225"/>
      <c r="F899" s="225"/>
      <c r="G899" s="225"/>
      <c r="H899" s="225"/>
      <c r="I899" s="225"/>
      <c r="J899" s="225"/>
      <c r="K899" s="225"/>
      <c r="L899" s="225"/>
      <c r="M899" s="225"/>
      <c r="N899" s="225"/>
      <c r="O899" s="225"/>
      <c r="P899" s="225"/>
      <c r="Q899" s="225"/>
      <c r="R899" s="225"/>
      <c r="S899" s="225"/>
      <c r="T899" s="225"/>
      <c r="U899" s="225"/>
      <c r="V899" s="225"/>
      <c r="W899" s="225"/>
      <c r="X899" s="225"/>
    </row>
    <row r="900" spans="1:24" ht="14.25" x14ac:dyDescent="0.2">
      <c r="A900" s="225"/>
      <c r="B900" s="225"/>
      <c r="C900" s="225"/>
      <c r="D900" s="225"/>
      <c r="E900" s="225"/>
      <c r="F900" s="225"/>
      <c r="G900" s="225"/>
      <c r="H900" s="225"/>
      <c r="I900" s="225"/>
      <c r="J900" s="225"/>
      <c r="K900" s="225"/>
      <c r="L900" s="225"/>
      <c r="M900" s="225"/>
      <c r="N900" s="225"/>
      <c r="O900" s="225"/>
      <c r="P900" s="225"/>
      <c r="Q900" s="225"/>
      <c r="R900" s="225"/>
      <c r="S900" s="225"/>
      <c r="T900" s="225"/>
      <c r="U900" s="225"/>
      <c r="V900" s="225"/>
      <c r="W900" s="225"/>
      <c r="X900" s="225"/>
    </row>
    <row r="901" spans="1:24" ht="14.25" x14ac:dyDescent="0.2">
      <c r="A901" s="225"/>
      <c r="B901" s="225"/>
      <c r="C901" s="225"/>
      <c r="D901" s="225"/>
      <c r="E901" s="225"/>
      <c r="F901" s="225"/>
      <c r="G901" s="225"/>
      <c r="H901" s="225"/>
      <c r="I901" s="225"/>
      <c r="J901" s="225"/>
      <c r="K901" s="225"/>
      <c r="L901" s="225"/>
      <c r="M901" s="225"/>
      <c r="N901" s="225"/>
      <c r="O901" s="225"/>
      <c r="P901" s="225"/>
      <c r="Q901" s="225"/>
      <c r="R901" s="225"/>
      <c r="S901" s="225"/>
      <c r="T901" s="225"/>
      <c r="U901" s="225"/>
      <c r="V901" s="225"/>
      <c r="W901" s="225"/>
      <c r="X901" s="225"/>
    </row>
    <row r="902" spans="1:24" ht="14.25" x14ac:dyDescent="0.2">
      <c r="A902" s="225"/>
      <c r="B902" s="225"/>
      <c r="C902" s="225"/>
      <c r="D902" s="225"/>
      <c r="E902" s="225"/>
      <c r="F902" s="225"/>
      <c r="G902" s="225"/>
      <c r="H902" s="225"/>
      <c r="I902" s="225"/>
      <c r="J902" s="225"/>
      <c r="K902" s="225"/>
      <c r="L902" s="225"/>
      <c r="M902" s="225"/>
      <c r="N902" s="225"/>
      <c r="O902" s="225"/>
      <c r="P902" s="225"/>
      <c r="Q902" s="225"/>
      <c r="R902" s="225"/>
      <c r="S902" s="225"/>
      <c r="T902" s="225"/>
      <c r="U902" s="225"/>
      <c r="V902" s="225"/>
      <c r="W902" s="225"/>
      <c r="X902" s="225"/>
    </row>
    <row r="903" spans="1:24" ht="14.25" x14ac:dyDescent="0.2">
      <c r="A903" s="225"/>
      <c r="B903" s="225"/>
      <c r="C903" s="225"/>
      <c r="D903" s="225"/>
      <c r="E903" s="225"/>
      <c r="F903" s="225"/>
      <c r="G903" s="225"/>
      <c r="H903" s="225"/>
      <c r="I903" s="225"/>
      <c r="J903" s="225"/>
      <c r="K903" s="225"/>
      <c r="L903" s="225"/>
      <c r="M903" s="225"/>
      <c r="N903" s="225"/>
      <c r="O903" s="225"/>
      <c r="P903" s="225"/>
      <c r="Q903" s="225"/>
      <c r="R903" s="225"/>
      <c r="S903" s="225"/>
      <c r="T903" s="225"/>
      <c r="U903" s="225"/>
      <c r="V903" s="225"/>
      <c r="W903" s="225"/>
      <c r="X903" s="225"/>
    </row>
    <row r="904" spans="1:24" ht="14.25" x14ac:dyDescent="0.2">
      <c r="A904" s="225"/>
      <c r="B904" s="225"/>
      <c r="C904" s="225"/>
      <c r="D904" s="225"/>
      <c r="E904" s="225"/>
      <c r="F904" s="225"/>
      <c r="G904" s="225"/>
      <c r="H904" s="225"/>
      <c r="I904" s="225"/>
      <c r="J904" s="225"/>
      <c r="K904" s="225"/>
      <c r="L904" s="225"/>
      <c r="M904" s="225"/>
      <c r="N904" s="225"/>
      <c r="O904" s="225"/>
      <c r="P904" s="225"/>
      <c r="Q904" s="225"/>
      <c r="R904" s="225"/>
      <c r="S904" s="225"/>
      <c r="T904" s="225"/>
      <c r="U904" s="225"/>
      <c r="V904" s="225"/>
      <c r="W904" s="225"/>
      <c r="X904" s="225"/>
    </row>
    <row r="905" spans="1:24" ht="14.25" x14ac:dyDescent="0.2">
      <c r="A905" s="225"/>
      <c r="B905" s="225"/>
      <c r="C905" s="225"/>
      <c r="D905" s="225"/>
      <c r="E905" s="225"/>
      <c r="F905" s="225"/>
      <c r="G905" s="225"/>
      <c r="H905" s="225"/>
      <c r="I905" s="225"/>
      <c r="J905" s="225"/>
      <c r="K905" s="225"/>
      <c r="L905" s="225"/>
      <c r="M905" s="225"/>
      <c r="N905" s="225"/>
      <c r="O905" s="225"/>
      <c r="P905" s="225"/>
      <c r="Q905" s="225"/>
      <c r="R905" s="225"/>
      <c r="S905" s="225"/>
      <c r="T905" s="225"/>
      <c r="U905" s="225"/>
      <c r="V905" s="225"/>
      <c r="W905" s="225"/>
      <c r="X905" s="225"/>
    </row>
    <row r="906" spans="1:24" ht="14.25" x14ac:dyDescent="0.2">
      <c r="A906" s="225"/>
      <c r="B906" s="225"/>
      <c r="C906" s="225"/>
      <c r="D906" s="225"/>
      <c r="E906" s="225"/>
      <c r="F906" s="225"/>
      <c r="G906" s="225"/>
      <c r="H906" s="225"/>
      <c r="I906" s="225"/>
      <c r="J906" s="225"/>
      <c r="K906" s="225"/>
      <c r="L906" s="225"/>
      <c r="M906" s="225"/>
      <c r="N906" s="225"/>
      <c r="O906" s="225"/>
      <c r="P906" s="225"/>
      <c r="Q906" s="225"/>
      <c r="R906" s="225"/>
      <c r="S906" s="225"/>
      <c r="T906" s="225"/>
      <c r="U906" s="225"/>
      <c r="V906" s="225"/>
      <c r="W906" s="225"/>
      <c r="X906" s="225"/>
    </row>
    <row r="907" spans="1:24" ht="14.25" x14ac:dyDescent="0.2">
      <c r="A907" s="225"/>
      <c r="B907" s="225"/>
      <c r="C907" s="225"/>
      <c r="D907" s="225"/>
      <c r="E907" s="225"/>
      <c r="F907" s="225"/>
      <c r="G907" s="225"/>
      <c r="H907" s="225"/>
      <c r="I907" s="225"/>
      <c r="J907" s="225"/>
      <c r="K907" s="225"/>
      <c r="L907" s="225"/>
      <c r="M907" s="225"/>
      <c r="N907" s="225"/>
      <c r="O907" s="225"/>
      <c r="P907" s="225"/>
      <c r="Q907" s="225"/>
      <c r="R907" s="225"/>
      <c r="S907" s="225"/>
      <c r="T907" s="225"/>
      <c r="U907" s="225"/>
      <c r="V907" s="225"/>
      <c r="W907" s="225"/>
      <c r="X907" s="225"/>
    </row>
    <row r="908" spans="1:24" ht="14.25" x14ac:dyDescent="0.2">
      <c r="A908" s="225"/>
      <c r="B908" s="225"/>
      <c r="C908" s="225"/>
      <c r="D908" s="225"/>
      <c r="E908" s="225"/>
      <c r="F908" s="225"/>
      <c r="G908" s="225"/>
      <c r="H908" s="225"/>
      <c r="I908" s="225"/>
      <c r="J908" s="225"/>
      <c r="K908" s="225"/>
      <c r="L908" s="225"/>
      <c r="M908" s="225"/>
      <c r="N908" s="225"/>
      <c r="O908" s="225"/>
      <c r="P908" s="225"/>
      <c r="Q908" s="225"/>
      <c r="R908" s="225"/>
      <c r="S908" s="225"/>
      <c r="T908" s="225"/>
      <c r="U908" s="225"/>
      <c r="V908" s="225"/>
      <c r="W908" s="225"/>
      <c r="X908" s="225"/>
    </row>
    <row r="909" spans="1:24" ht="14.25" x14ac:dyDescent="0.2">
      <c r="A909" s="225"/>
      <c r="B909" s="225"/>
      <c r="C909" s="225"/>
      <c r="D909" s="225"/>
      <c r="E909" s="225"/>
      <c r="F909" s="225"/>
      <c r="G909" s="225"/>
      <c r="H909" s="225"/>
      <c r="I909" s="225"/>
      <c r="J909" s="225"/>
      <c r="K909" s="225"/>
      <c r="L909" s="225"/>
      <c r="M909" s="225"/>
      <c r="N909" s="225"/>
      <c r="O909" s="225"/>
      <c r="P909" s="225"/>
      <c r="Q909" s="225"/>
      <c r="R909" s="225"/>
      <c r="S909" s="225"/>
      <c r="T909" s="225"/>
      <c r="U909" s="225"/>
      <c r="V909" s="225"/>
      <c r="W909" s="225"/>
      <c r="X909" s="225"/>
    </row>
    <row r="910" spans="1:24" ht="14.25" x14ac:dyDescent="0.2">
      <c r="A910" s="225"/>
      <c r="B910" s="225"/>
      <c r="C910" s="225"/>
      <c r="D910" s="225"/>
      <c r="E910" s="225"/>
      <c r="F910" s="225"/>
      <c r="G910" s="225"/>
      <c r="H910" s="225"/>
      <c r="I910" s="225"/>
      <c r="J910" s="225"/>
      <c r="K910" s="225"/>
      <c r="L910" s="225"/>
      <c r="M910" s="225"/>
      <c r="N910" s="225"/>
      <c r="O910" s="225"/>
      <c r="P910" s="225"/>
      <c r="Q910" s="225"/>
      <c r="R910" s="225"/>
      <c r="S910" s="225"/>
      <c r="T910" s="225"/>
      <c r="U910" s="225"/>
      <c r="V910" s="225"/>
      <c r="W910" s="225"/>
      <c r="X910" s="225"/>
    </row>
    <row r="911" spans="1:24" ht="14.25" x14ac:dyDescent="0.2">
      <c r="A911" s="225"/>
      <c r="B911" s="225"/>
      <c r="C911" s="225"/>
      <c r="D911" s="225"/>
      <c r="E911" s="225"/>
      <c r="F911" s="225"/>
      <c r="G911" s="225"/>
      <c r="H911" s="225"/>
      <c r="I911" s="225"/>
      <c r="J911" s="225"/>
      <c r="K911" s="225"/>
      <c r="L911" s="225"/>
      <c r="M911" s="225"/>
      <c r="N911" s="225"/>
      <c r="O911" s="225"/>
      <c r="P911" s="225"/>
      <c r="Q911" s="225"/>
      <c r="R911" s="225"/>
      <c r="S911" s="225"/>
      <c r="T911" s="225"/>
      <c r="U911" s="225"/>
      <c r="V911" s="225"/>
      <c r="W911" s="225"/>
      <c r="X911" s="225"/>
    </row>
    <row r="912" spans="1:24" ht="14.25" x14ac:dyDescent="0.2">
      <c r="A912" s="225"/>
      <c r="B912" s="225"/>
      <c r="C912" s="225"/>
      <c r="D912" s="225"/>
      <c r="E912" s="225"/>
      <c r="F912" s="225"/>
      <c r="G912" s="225"/>
      <c r="H912" s="225"/>
      <c r="I912" s="225"/>
      <c r="J912" s="225"/>
      <c r="K912" s="225"/>
      <c r="L912" s="225"/>
      <c r="M912" s="225"/>
      <c r="N912" s="225"/>
      <c r="O912" s="225"/>
      <c r="P912" s="225"/>
      <c r="Q912" s="225"/>
      <c r="R912" s="225"/>
      <c r="S912" s="225"/>
      <c r="T912" s="225"/>
      <c r="U912" s="225"/>
      <c r="V912" s="225"/>
      <c r="W912" s="225"/>
      <c r="X912" s="225"/>
    </row>
    <row r="913" spans="1:24" ht="14.25" x14ac:dyDescent="0.2">
      <c r="A913" s="225"/>
      <c r="B913" s="225"/>
      <c r="C913" s="225"/>
      <c r="D913" s="225"/>
      <c r="E913" s="225"/>
      <c r="F913" s="225"/>
      <c r="G913" s="225"/>
      <c r="H913" s="225"/>
      <c r="I913" s="225"/>
      <c r="J913" s="225"/>
      <c r="K913" s="225"/>
      <c r="L913" s="225"/>
      <c r="M913" s="225"/>
      <c r="N913" s="225"/>
      <c r="O913" s="225"/>
      <c r="P913" s="225"/>
      <c r="Q913" s="225"/>
      <c r="R913" s="225"/>
      <c r="S913" s="225"/>
      <c r="T913" s="225"/>
      <c r="U913" s="225"/>
      <c r="V913" s="225"/>
      <c r="W913" s="225"/>
      <c r="X913" s="225"/>
    </row>
    <row r="914" spans="1:24" ht="14.25" x14ac:dyDescent="0.2">
      <c r="A914" s="225"/>
      <c r="B914" s="225"/>
      <c r="C914" s="225"/>
      <c r="D914" s="225"/>
      <c r="E914" s="225"/>
      <c r="F914" s="225"/>
      <c r="G914" s="225"/>
      <c r="H914" s="225"/>
      <c r="I914" s="225"/>
      <c r="J914" s="225"/>
      <c r="K914" s="225"/>
      <c r="L914" s="225"/>
      <c r="M914" s="225"/>
      <c r="N914" s="225"/>
      <c r="O914" s="225"/>
      <c r="P914" s="225"/>
      <c r="Q914" s="225"/>
      <c r="R914" s="225"/>
      <c r="S914" s="225"/>
      <c r="T914" s="225"/>
      <c r="U914" s="225"/>
      <c r="V914" s="225"/>
      <c r="W914" s="225"/>
      <c r="X914" s="225"/>
    </row>
    <row r="915" spans="1:24" ht="14.25" x14ac:dyDescent="0.2">
      <c r="A915" s="225"/>
      <c r="B915" s="225"/>
      <c r="C915" s="225"/>
      <c r="D915" s="225"/>
      <c r="E915" s="225"/>
      <c r="F915" s="225"/>
      <c r="G915" s="225"/>
      <c r="H915" s="225"/>
      <c r="I915" s="225"/>
      <c r="J915" s="225"/>
      <c r="K915" s="225"/>
      <c r="L915" s="225"/>
      <c r="M915" s="225"/>
      <c r="N915" s="225"/>
      <c r="O915" s="225"/>
      <c r="P915" s="225"/>
      <c r="Q915" s="225"/>
      <c r="R915" s="225"/>
      <c r="S915" s="225"/>
      <c r="T915" s="225"/>
      <c r="U915" s="225"/>
      <c r="V915" s="225"/>
      <c r="W915" s="225"/>
      <c r="X915" s="225"/>
    </row>
    <row r="916" spans="1:24" ht="14.25" x14ac:dyDescent="0.2">
      <c r="A916" s="225"/>
      <c r="B916" s="225"/>
      <c r="C916" s="225"/>
      <c r="D916" s="225"/>
      <c r="E916" s="225"/>
      <c r="F916" s="225"/>
      <c r="G916" s="225"/>
      <c r="H916" s="225"/>
      <c r="I916" s="225"/>
      <c r="J916" s="225"/>
      <c r="K916" s="225"/>
      <c r="L916" s="225"/>
      <c r="M916" s="225"/>
      <c r="N916" s="225"/>
      <c r="O916" s="225"/>
      <c r="P916" s="225"/>
      <c r="Q916" s="225"/>
      <c r="R916" s="225"/>
      <c r="S916" s="225"/>
      <c r="T916" s="225"/>
      <c r="U916" s="225"/>
      <c r="V916" s="225"/>
      <c r="W916" s="225"/>
      <c r="X916" s="225"/>
    </row>
    <row r="917" spans="1:24" ht="14.25" x14ac:dyDescent="0.2">
      <c r="A917" s="225"/>
      <c r="B917" s="225"/>
      <c r="C917" s="225"/>
      <c r="D917" s="225"/>
      <c r="E917" s="225"/>
      <c r="F917" s="225"/>
      <c r="G917" s="225"/>
      <c r="H917" s="225"/>
      <c r="I917" s="225"/>
      <c r="J917" s="225"/>
      <c r="K917" s="225"/>
      <c r="L917" s="225"/>
      <c r="M917" s="225"/>
      <c r="N917" s="225"/>
      <c r="O917" s="225"/>
      <c r="P917" s="225"/>
      <c r="Q917" s="225"/>
      <c r="R917" s="225"/>
      <c r="S917" s="225"/>
      <c r="T917" s="225"/>
      <c r="U917" s="225"/>
      <c r="V917" s="225"/>
      <c r="W917" s="225"/>
      <c r="X917" s="225"/>
    </row>
    <row r="918" spans="1:24" ht="14.25" x14ac:dyDescent="0.2">
      <c r="A918" s="225"/>
      <c r="B918" s="225"/>
      <c r="C918" s="225"/>
      <c r="D918" s="225"/>
      <c r="E918" s="225"/>
      <c r="F918" s="225"/>
      <c r="G918" s="225"/>
      <c r="H918" s="225"/>
      <c r="I918" s="225"/>
      <c r="J918" s="225"/>
      <c r="K918" s="225"/>
      <c r="L918" s="225"/>
      <c r="M918" s="225"/>
      <c r="N918" s="225"/>
      <c r="O918" s="225"/>
      <c r="P918" s="225"/>
      <c r="Q918" s="225"/>
      <c r="R918" s="225"/>
      <c r="S918" s="225"/>
      <c r="T918" s="225"/>
      <c r="U918" s="225"/>
      <c r="V918" s="225"/>
      <c r="W918" s="225"/>
      <c r="X918" s="225"/>
    </row>
    <row r="919" spans="1:24" ht="14.25" x14ac:dyDescent="0.2">
      <c r="A919" s="225"/>
      <c r="B919" s="225"/>
      <c r="C919" s="225"/>
      <c r="D919" s="225"/>
      <c r="E919" s="225"/>
      <c r="F919" s="225"/>
      <c r="G919" s="225"/>
      <c r="H919" s="225"/>
      <c r="I919" s="225"/>
      <c r="J919" s="225"/>
      <c r="K919" s="225"/>
      <c r="L919" s="225"/>
      <c r="M919" s="225"/>
      <c r="N919" s="225"/>
      <c r="O919" s="225"/>
      <c r="P919" s="225"/>
      <c r="Q919" s="225"/>
      <c r="R919" s="225"/>
      <c r="S919" s="225"/>
      <c r="T919" s="225"/>
      <c r="U919" s="225"/>
      <c r="V919" s="225"/>
      <c r="W919" s="225"/>
      <c r="X919" s="225"/>
    </row>
    <row r="920" spans="1:24" ht="14.25" x14ac:dyDescent="0.2">
      <c r="A920" s="225"/>
      <c r="B920" s="225"/>
      <c r="C920" s="225"/>
      <c r="D920" s="225"/>
      <c r="E920" s="225"/>
      <c r="F920" s="225"/>
      <c r="G920" s="225"/>
      <c r="H920" s="225"/>
      <c r="I920" s="225"/>
      <c r="J920" s="225"/>
      <c r="K920" s="225"/>
      <c r="L920" s="225"/>
      <c r="M920" s="225"/>
      <c r="N920" s="225"/>
      <c r="O920" s="225"/>
      <c r="P920" s="225"/>
      <c r="Q920" s="225"/>
      <c r="R920" s="225"/>
      <c r="S920" s="225"/>
      <c r="T920" s="225"/>
      <c r="U920" s="225"/>
      <c r="V920" s="225"/>
      <c r="W920" s="225"/>
      <c r="X920" s="225"/>
    </row>
    <row r="921" spans="1:24" ht="14.25" x14ac:dyDescent="0.2">
      <c r="A921" s="225"/>
      <c r="B921" s="225"/>
      <c r="C921" s="225"/>
      <c r="D921" s="225"/>
      <c r="E921" s="225"/>
      <c r="F921" s="225"/>
      <c r="G921" s="225"/>
      <c r="H921" s="225"/>
      <c r="I921" s="225"/>
      <c r="J921" s="225"/>
      <c r="K921" s="225"/>
      <c r="L921" s="225"/>
      <c r="M921" s="225"/>
      <c r="N921" s="225"/>
      <c r="O921" s="225"/>
      <c r="P921" s="225"/>
      <c r="Q921" s="225"/>
      <c r="R921" s="225"/>
      <c r="S921" s="225"/>
      <c r="T921" s="225"/>
      <c r="U921" s="225"/>
      <c r="V921" s="225"/>
      <c r="W921" s="225"/>
      <c r="X921" s="225"/>
    </row>
    <row r="922" spans="1:24" ht="14.25" x14ac:dyDescent="0.2">
      <c r="A922" s="225"/>
      <c r="B922" s="225"/>
      <c r="C922" s="225"/>
      <c r="D922" s="225"/>
      <c r="E922" s="225"/>
      <c r="F922" s="225"/>
      <c r="G922" s="225"/>
      <c r="H922" s="225"/>
      <c r="I922" s="225"/>
      <c r="J922" s="225"/>
      <c r="K922" s="225"/>
      <c r="L922" s="225"/>
      <c r="M922" s="225"/>
      <c r="N922" s="225"/>
      <c r="O922" s="225"/>
      <c r="P922" s="225"/>
      <c r="Q922" s="225"/>
      <c r="R922" s="225"/>
      <c r="S922" s="225"/>
      <c r="T922" s="225"/>
      <c r="U922" s="225"/>
      <c r="V922" s="225"/>
      <c r="W922" s="225"/>
      <c r="X922" s="225"/>
    </row>
    <row r="923" spans="1:24" ht="14.25" x14ac:dyDescent="0.2">
      <c r="A923" s="225"/>
      <c r="B923" s="225"/>
      <c r="C923" s="225"/>
      <c r="D923" s="225"/>
      <c r="E923" s="225"/>
      <c r="F923" s="225"/>
      <c r="G923" s="225"/>
      <c r="H923" s="225"/>
      <c r="I923" s="225"/>
      <c r="J923" s="225"/>
      <c r="K923" s="225"/>
      <c r="L923" s="225"/>
      <c r="M923" s="225"/>
      <c r="N923" s="225"/>
      <c r="O923" s="225"/>
      <c r="P923" s="225"/>
      <c r="Q923" s="225"/>
      <c r="R923" s="225"/>
      <c r="S923" s="225"/>
      <c r="T923" s="225"/>
      <c r="U923" s="225"/>
      <c r="V923" s="225"/>
      <c r="W923" s="225"/>
      <c r="X923" s="225"/>
    </row>
    <row r="924" spans="1:24" ht="14.25" x14ac:dyDescent="0.2">
      <c r="A924" s="225"/>
      <c r="B924" s="225"/>
      <c r="C924" s="225"/>
      <c r="D924" s="225"/>
      <c r="E924" s="225"/>
      <c r="F924" s="225"/>
      <c r="G924" s="225"/>
      <c r="H924" s="225"/>
      <c r="I924" s="225"/>
      <c r="J924" s="225"/>
      <c r="K924" s="225"/>
      <c r="L924" s="225"/>
      <c r="M924" s="225"/>
      <c r="N924" s="225"/>
      <c r="O924" s="225"/>
      <c r="P924" s="225"/>
      <c r="Q924" s="225"/>
      <c r="R924" s="225"/>
      <c r="S924" s="225"/>
      <c r="T924" s="225"/>
      <c r="U924" s="225"/>
      <c r="V924" s="225"/>
      <c r="W924" s="225"/>
      <c r="X924" s="225"/>
    </row>
    <row r="925" spans="1:24" ht="14.25" x14ac:dyDescent="0.2">
      <c r="A925" s="225"/>
      <c r="B925" s="225"/>
      <c r="C925" s="225"/>
      <c r="D925" s="225"/>
      <c r="E925" s="225"/>
      <c r="F925" s="225"/>
      <c r="G925" s="225"/>
      <c r="H925" s="225"/>
      <c r="I925" s="225"/>
      <c r="J925" s="225"/>
      <c r="K925" s="225"/>
      <c r="L925" s="225"/>
      <c r="M925" s="225"/>
      <c r="N925" s="225"/>
      <c r="O925" s="225"/>
      <c r="P925" s="225"/>
      <c r="Q925" s="225"/>
      <c r="R925" s="225"/>
      <c r="S925" s="225"/>
      <c r="T925" s="225"/>
      <c r="U925" s="225"/>
      <c r="V925" s="225"/>
      <c r="W925" s="225"/>
      <c r="X925" s="225"/>
    </row>
    <row r="926" spans="1:24" ht="14.25" x14ac:dyDescent="0.2">
      <c r="A926" s="225"/>
      <c r="B926" s="225"/>
      <c r="C926" s="225"/>
      <c r="D926" s="225"/>
      <c r="E926" s="225"/>
      <c r="F926" s="225"/>
      <c r="G926" s="225"/>
      <c r="H926" s="225"/>
      <c r="I926" s="225"/>
      <c r="J926" s="225"/>
      <c r="K926" s="225"/>
      <c r="L926" s="225"/>
      <c r="M926" s="225"/>
      <c r="N926" s="225"/>
      <c r="O926" s="225"/>
      <c r="P926" s="225"/>
      <c r="Q926" s="225"/>
      <c r="R926" s="225"/>
      <c r="S926" s="225"/>
      <c r="T926" s="225"/>
      <c r="U926" s="225"/>
      <c r="V926" s="225"/>
      <c r="W926" s="225"/>
      <c r="X926" s="225"/>
    </row>
    <row r="927" spans="1:24" ht="14.25" x14ac:dyDescent="0.2">
      <c r="A927" s="225"/>
      <c r="B927" s="225"/>
      <c r="C927" s="225"/>
      <c r="D927" s="225"/>
      <c r="E927" s="225"/>
      <c r="F927" s="225"/>
      <c r="G927" s="225"/>
      <c r="H927" s="225"/>
      <c r="I927" s="225"/>
      <c r="J927" s="225"/>
      <c r="K927" s="225"/>
      <c r="L927" s="225"/>
      <c r="M927" s="225"/>
      <c r="N927" s="225"/>
      <c r="O927" s="225"/>
      <c r="P927" s="225"/>
      <c r="Q927" s="225"/>
      <c r="R927" s="225"/>
      <c r="S927" s="225"/>
      <c r="T927" s="225"/>
      <c r="U927" s="225"/>
      <c r="V927" s="225"/>
      <c r="W927" s="225"/>
      <c r="X927" s="225"/>
    </row>
    <row r="928" spans="1:24" ht="14.25" x14ac:dyDescent="0.2">
      <c r="A928" s="225"/>
      <c r="B928" s="225"/>
      <c r="C928" s="225"/>
      <c r="D928" s="225"/>
      <c r="E928" s="225"/>
      <c r="F928" s="225"/>
      <c r="G928" s="225"/>
      <c r="H928" s="225"/>
      <c r="I928" s="225"/>
      <c r="J928" s="225"/>
      <c r="K928" s="225"/>
      <c r="L928" s="225"/>
      <c r="M928" s="225"/>
      <c r="N928" s="225"/>
      <c r="O928" s="225"/>
      <c r="P928" s="225"/>
      <c r="Q928" s="225"/>
      <c r="R928" s="225"/>
      <c r="S928" s="225"/>
      <c r="T928" s="225"/>
      <c r="U928" s="225"/>
      <c r="V928" s="225"/>
      <c r="W928" s="225"/>
      <c r="X928" s="225"/>
    </row>
    <row r="929" spans="1:24" ht="14.25" x14ac:dyDescent="0.2">
      <c r="A929" s="225"/>
      <c r="B929" s="225"/>
      <c r="C929" s="225"/>
      <c r="D929" s="225"/>
      <c r="E929" s="225"/>
      <c r="F929" s="225"/>
      <c r="G929" s="225"/>
      <c r="H929" s="225"/>
      <c r="I929" s="225"/>
      <c r="J929" s="225"/>
      <c r="K929" s="225"/>
      <c r="L929" s="225"/>
      <c r="M929" s="225"/>
      <c r="N929" s="225"/>
      <c r="O929" s="225"/>
      <c r="P929" s="225"/>
      <c r="Q929" s="225"/>
      <c r="R929" s="225"/>
      <c r="S929" s="225"/>
      <c r="T929" s="225"/>
      <c r="U929" s="225"/>
      <c r="V929" s="225"/>
      <c r="W929" s="225"/>
      <c r="X929" s="225"/>
    </row>
    <row r="930" spans="1:24" ht="14.25" x14ac:dyDescent="0.2">
      <c r="A930" s="225"/>
      <c r="B930" s="225"/>
      <c r="C930" s="225"/>
      <c r="D930" s="225"/>
      <c r="E930" s="225"/>
      <c r="F930" s="225"/>
      <c r="G930" s="225"/>
      <c r="H930" s="225"/>
      <c r="I930" s="225"/>
      <c r="J930" s="225"/>
      <c r="K930" s="225"/>
      <c r="L930" s="225"/>
      <c r="M930" s="225"/>
      <c r="N930" s="225"/>
      <c r="O930" s="225"/>
      <c r="P930" s="225"/>
      <c r="Q930" s="225"/>
      <c r="R930" s="225"/>
      <c r="S930" s="225"/>
      <c r="T930" s="225"/>
      <c r="U930" s="225"/>
      <c r="V930" s="225"/>
      <c r="W930" s="225"/>
      <c r="X930" s="225"/>
    </row>
    <row r="931" spans="1:24" ht="14.25" x14ac:dyDescent="0.2">
      <c r="A931" s="225"/>
      <c r="B931" s="225"/>
      <c r="C931" s="225"/>
      <c r="D931" s="225"/>
      <c r="E931" s="225"/>
      <c r="F931" s="225"/>
      <c r="G931" s="225"/>
      <c r="H931" s="225"/>
      <c r="I931" s="225"/>
      <c r="J931" s="225"/>
      <c r="K931" s="225"/>
      <c r="L931" s="225"/>
      <c r="M931" s="225"/>
      <c r="N931" s="225"/>
      <c r="O931" s="225"/>
      <c r="P931" s="225"/>
      <c r="Q931" s="225"/>
      <c r="R931" s="225"/>
      <c r="S931" s="225"/>
      <c r="T931" s="225"/>
      <c r="U931" s="225"/>
      <c r="V931" s="225"/>
      <c r="W931" s="225"/>
      <c r="X931" s="225"/>
    </row>
    <row r="932" spans="1:24" ht="14.25" x14ac:dyDescent="0.2">
      <c r="A932" s="225"/>
      <c r="B932" s="225"/>
      <c r="C932" s="225"/>
      <c r="D932" s="225"/>
      <c r="E932" s="225"/>
      <c r="F932" s="225"/>
      <c r="G932" s="225"/>
      <c r="H932" s="225"/>
      <c r="I932" s="225"/>
      <c r="J932" s="225"/>
      <c r="K932" s="225"/>
      <c r="L932" s="225"/>
      <c r="M932" s="225"/>
      <c r="N932" s="225"/>
      <c r="O932" s="225"/>
      <c r="P932" s="225"/>
      <c r="Q932" s="225"/>
      <c r="R932" s="225"/>
      <c r="S932" s="225"/>
      <c r="T932" s="225"/>
      <c r="U932" s="225"/>
      <c r="V932" s="225"/>
      <c r="W932" s="225"/>
      <c r="X932" s="225"/>
    </row>
    <row r="933" spans="1:24" ht="14.25" x14ac:dyDescent="0.2">
      <c r="A933" s="225"/>
      <c r="B933" s="225"/>
      <c r="C933" s="225"/>
      <c r="D933" s="225"/>
      <c r="E933" s="225"/>
      <c r="F933" s="225"/>
      <c r="G933" s="225"/>
      <c r="H933" s="225"/>
      <c r="I933" s="225"/>
      <c r="J933" s="225"/>
      <c r="K933" s="225"/>
      <c r="L933" s="225"/>
      <c r="M933" s="225"/>
      <c r="N933" s="225"/>
      <c r="O933" s="225"/>
      <c r="P933" s="225"/>
      <c r="Q933" s="225"/>
      <c r="R933" s="225"/>
      <c r="S933" s="225"/>
      <c r="T933" s="225"/>
      <c r="U933" s="225"/>
      <c r="V933" s="225"/>
      <c r="W933" s="225"/>
      <c r="X933" s="225"/>
    </row>
    <row r="934" spans="1:24" ht="14.25" x14ac:dyDescent="0.2">
      <c r="A934" s="225"/>
      <c r="B934" s="225"/>
      <c r="C934" s="225"/>
      <c r="D934" s="225"/>
      <c r="E934" s="225"/>
      <c r="F934" s="225"/>
      <c r="G934" s="225"/>
      <c r="H934" s="225"/>
      <c r="I934" s="225"/>
      <c r="J934" s="225"/>
      <c r="K934" s="225"/>
      <c r="L934" s="225"/>
      <c r="M934" s="225"/>
      <c r="N934" s="225"/>
      <c r="O934" s="225"/>
      <c r="P934" s="225"/>
      <c r="Q934" s="225"/>
      <c r="R934" s="225"/>
      <c r="S934" s="225"/>
      <c r="T934" s="225"/>
      <c r="U934" s="225"/>
      <c r="V934" s="225"/>
      <c r="W934" s="225"/>
      <c r="X934" s="225"/>
    </row>
    <row r="935" spans="1:24" ht="14.25" x14ac:dyDescent="0.2">
      <c r="A935" s="225"/>
      <c r="B935" s="225"/>
      <c r="C935" s="225"/>
      <c r="D935" s="225"/>
      <c r="E935" s="225"/>
      <c r="F935" s="225"/>
      <c r="G935" s="225"/>
      <c r="H935" s="225"/>
      <c r="I935" s="225"/>
      <c r="J935" s="225"/>
      <c r="K935" s="225"/>
      <c r="L935" s="225"/>
      <c r="M935" s="225"/>
      <c r="N935" s="225"/>
      <c r="O935" s="225"/>
      <c r="P935" s="225"/>
      <c r="Q935" s="225"/>
      <c r="R935" s="225"/>
      <c r="S935" s="225"/>
      <c r="T935" s="225"/>
      <c r="U935" s="225"/>
      <c r="V935" s="225"/>
      <c r="W935" s="225"/>
      <c r="X935" s="225"/>
    </row>
    <row r="936" spans="1:24" ht="14.25" x14ac:dyDescent="0.2">
      <c r="A936" s="225"/>
      <c r="B936" s="225"/>
      <c r="C936" s="225"/>
      <c r="D936" s="225"/>
      <c r="E936" s="225"/>
      <c r="F936" s="225"/>
      <c r="G936" s="225"/>
      <c r="H936" s="225"/>
      <c r="I936" s="225"/>
      <c r="J936" s="225"/>
      <c r="K936" s="225"/>
      <c r="L936" s="225"/>
      <c r="M936" s="225"/>
      <c r="N936" s="225"/>
      <c r="O936" s="225"/>
      <c r="P936" s="225"/>
      <c r="Q936" s="225"/>
      <c r="R936" s="225"/>
      <c r="S936" s="225"/>
      <c r="T936" s="225"/>
      <c r="U936" s="225"/>
      <c r="V936" s="225"/>
      <c r="W936" s="225"/>
      <c r="X936" s="225"/>
    </row>
    <row r="937" spans="1:24" ht="14.25" x14ac:dyDescent="0.2">
      <c r="A937" s="225"/>
      <c r="B937" s="225"/>
      <c r="C937" s="225"/>
      <c r="D937" s="225"/>
      <c r="E937" s="225"/>
      <c r="F937" s="225"/>
      <c r="G937" s="225"/>
      <c r="H937" s="225"/>
      <c r="I937" s="225"/>
      <c r="J937" s="225"/>
      <c r="K937" s="225"/>
      <c r="L937" s="225"/>
      <c r="M937" s="225"/>
      <c r="N937" s="225"/>
      <c r="O937" s="225"/>
      <c r="P937" s="225"/>
      <c r="Q937" s="225"/>
      <c r="R937" s="225"/>
      <c r="S937" s="225"/>
      <c r="T937" s="225"/>
      <c r="U937" s="225"/>
      <c r="V937" s="225"/>
      <c r="W937" s="225"/>
      <c r="X937" s="225"/>
    </row>
    <row r="938" spans="1:24" ht="14.25" x14ac:dyDescent="0.2">
      <c r="A938" s="225"/>
      <c r="B938" s="225"/>
      <c r="C938" s="225"/>
      <c r="D938" s="225"/>
      <c r="E938" s="225"/>
      <c r="F938" s="225"/>
      <c r="G938" s="225"/>
      <c r="H938" s="225"/>
      <c r="I938" s="225"/>
      <c r="J938" s="225"/>
      <c r="K938" s="225"/>
      <c r="L938" s="225"/>
      <c r="M938" s="225"/>
      <c r="N938" s="225"/>
      <c r="O938" s="225"/>
      <c r="P938" s="225"/>
      <c r="Q938" s="225"/>
      <c r="R938" s="225"/>
      <c r="S938" s="225"/>
      <c r="T938" s="225"/>
      <c r="U938" s="225"/>
      <c r="V938" s="225"/>
      <c r="W938" s="225"/>
      <c r="X938" s="225"/>
    </row>
    <row r="939" spans="1:24" ht="14.25" x14ac:dyDescent="0.2">
      <c r="A939" s="225"/>
      <c r="B939" s="225"/>
      <c r="C939" s="225"/>
      <c r="D939" s="225"/>
      <c r="E939" s="225"/>
      <c r="F939" s="225"/>
      <c r="G939" s="225"/>
      <c r="H939" s="225"/>
      <c r="I939" s="225"/>
      <c r="J939" s="225"/>
      <c r="K939" s="225"/>
      <c r="L939" s="225"/>
      <c r="M939" s="225"/>
      <c r="N939" s="225"/>
      <c r="O939" s="225"/>
      <c r="P939" s="225"/>
      <c r="Q939" s="225"/>
      <c r="R939" s="225"/>
      <c r="S939" s="225"/>
      <c r="T939" s="225"/>
      <c r="U939" s="225"/>
      <c r="V939" s="225"/>
      <c r="W939" s="225"/>
      <c r="X939" s="225"/>
    </row>
    <row r="940" spans="1:24" ht="14.25" x14ac:dyDescent="0.2">
      <c r="A940" s="225"/>
      <c r="B940" s="225"/>
      <c r="C940" s="225"/>
      <c r="D940" s="225"/>
      <c r="E940" s="225"/>
      <c r="F940" s="225"/>
      <c r="G940" s="225"/>
      <c r="H940" s="225"/>
      <c r="I940" s="225"/>
      <c r="J940" s="225"/>
      <c r="K940" s="225"/>
      <c r="L940" s="225"/>
      <c r="M940" s="225"/>
      <c r="N940" s="225"/>
      <c r="O940" s="225"/>
      <c r="P940" s="225"/>
      <c r="Q940" s="225"/>
      <c r="R940" s="225"/>
      <c r="S940" s="225"/>
      <c r="T940" s="225"/>
      <c r="U940" s="225"/>
      <c r="V940" s="225"/>
      <c r="W940" s="225"/>
      <c r="X940" s="225"/>
    </row>
    <row r="941" spans="1:24" ht="14.25" x14ac:dyDescent="0.2">
      <c r="A941" s="225"/>
      <c r="B941" s="225"/>
      <c r="C941" s="225"/>
      <c r="D941" s="225"/>
      <c r="E941" s="225"/>
      <c r="F941" s="225"/>
      <c r="G941" s="225"/>
      <c r="H941" s="225"/>
      <c r="I941" s="225"/>
      <c r="J941" s="225"/>
      <c r="K941" s="225"/>
      <c r="L941" s="225"/>
      <c r="M941" s="225"/>
      <c r="N941" s="225"/>
      <c r="O941" s="225"/>
      <c r="P941" s="225"/>
      <c r="Q941" s="225"/>
      <c r="R941" s="225"/>
      <c r="S941" s="225"/>
      <c r="T941" s="225"/>
      <c r="U941" s="225"/>
      <c r="V941" s="225"/>
      <c r="W941" s="225"/>
      <c r="X941" s="225"/>
    </row>
    <row r="942" spans="1:24" ht="14.25" x14ac:dyDescent="0.2">
      <c r="A942" s="225"/>
      <c r="B942" s="225"/>
      <c r="C942" s="225"/>
      <c r="D942" s="225"/>
      <c r="E942" s="225"/>
      <c r="F942" s="225"/>
      <c r="G942" s="225"/>
      <c r="H942" s="225"/>
      <c r="I942" s="225"/>
      <c r="J942" s="225"/>
      <c r="K942" s="225"/>
      <c r="L942" s="225"/>
      <c r="M942" s="225"/>
      <c r="N942" s="225"/>
      <c r="O942" s="225"/>
      <c r="P942" s="225"/>
      <c r="Q942" s="225"/>
      <c r="R942" s="225"/>
      <c r="S942" s="225"/>
      <c r="T942" s="225"/>
      <c r="U942" s="225"/>
      <c r="V942" s="225"/>
      <c r="W942" s="225"/>
      <c r="X942" s="225"/>
    </row>
    <row r="943" spans="1:24" ht="14.25" x14ac:dyDescent="0.2">
      <c r="A943" s="225"/>
      <c r="B943" s="225"/>
      <c r="C943" s="225"/>
      <c r="D943" s="225"/>
      <c r="E943" s="225"/>
      <c r="F943" s="225"/>
      <c r="G943" s="225"/>
      <c r="H943" s="225"/>
      <c r="I943" s="225"/>
      <c r="J943" s="225"/>
      <c r="K943" s="225"/>
      <c r="L943" s="225"/>
      <c r="M943" s="225"/>
      <c r="N943" s="225"/>
      <c r="O943" s="225"/>
      <c r="P943" s="225"/>
      <c r="Q943" s="225"/>
      <c r="R943" s="225"/>
      <c r="S943" s="225"/>
      <c r="T943" s="225"/>
      <c r="U943" s="225"/>
      <c r="V943" s="225"/>
      <c r="W943" s="225"/>
      <c r="X943" s="225"/>
    </row>
    <row r="944" spans="1:24" ht="14.25" x14ac:dyDescent="0.2">
      <c r="A944" s="225"/>
      <c r="B944" s="225"/>
      <c r="C944" s="225"/>
      <c r="D944" s="225"/>
      <c r="E944" s="225"/>
      <c r="F944" s="225"/>
      <c r="G944" s="225"/>
      <c r="H944" s="225"/>
      <c r="I944" s="225"/>
      <c r="J944" s="225"/>
      <c r="K944" s="225"/>
      <c r="L944" s="225"/>
      <c r="M944" s="225"/>
      <c r="N944" s="225"/>
      <c r="O944" s="225"/>
      <c r="P944" s="225"/>
      <c r="Q944" s="225"/>
      <c r="R944" s="225"/>
      <c r="S944" s="225"/>
      <c r="T944" s="225"/>
      <c r="U944" s="225"/>
      <c r="V944" s="225"/>
      <c r="W944" s="225"/>
      <c r="X944" s="225"/>
    </row>
    <row r="945" spans="1:24" ht="14.25" x14ac:dyDescent="0.2">
      <c r="A945" s="225"/>
      <c r="B945" s="225"/>
      <c r="C945" s="225"/>
      <c r="D945" s="225"/>
      <c r="E945" s="225"/>
      <c r="F945" s="225"/>
      <c r="G945" s="225"/>
      <c r="H945" s="225"/>
      <c r="I945" s="225"/>
      <c r="J945" s="225"/>
      <c r="K945" s="225"/>
      <c r="L945" s="225"/>
      <c r="M945" s="225"/>
      <c r="N945" s="225"/>
      <c r="O945" s="225"/>
      <c r="P945" s="225"/>
      <c r="Q945" s="225"/>
      <c r="R945" s="225"/>
      <c r="S945" s="225"/>
      <c r="T945" s="225"/>
      <c r="U945" s="225"/>
      <c r="V945" s="225"/>
      <c r="W945" s="225"/>
      <c r="X945" s="225"/>
    </row>
    <row r="946" spans="1:24" ht="14.25" x14ac:dyDescent="0.2">
      <c r="A946" s="225"/>
      <c r="B946" s="225"/>
      <c r="C946" s="225"/>
      <c r="D946" s="225"/>
      <c r="E946" s="225"/>
      <c r="F946" s="225"/>
      <c r="G946" s="225"/>
      <c r="H946" s="225"/>
      <c r="I946" s="225"/>
      <c r="J946" s="225"/>
      <c r="K946" s="225"/>
      <c r="L946" s="225"/>
      <c r="M946" s="225"/>
      <c r="N946" s="225"/>
      <c r="O946" s="225"/>
      <c r="P946" s="225"/>
      <c r="Q946" s="225"/>
      <c r="R946" s="225"/>
      <c r="S946" s="225"/>
      <c r="T946" s="225"/>
      <c r="U946" s="225"/>
      <c r="V946" s="225"/>
      <c r="W946" s="225"/>
      <c r="X946" s="225"/>
    </row>
    <row r="947" spans="1:24" ht="14.25" x14ac:dyDescent="0.2">
      <c r="A947" s="225"/>
      <c r="B947" s="225"/>
      <c r="C947" s="225"/>
      <c r="D947" s="225"/>
      <c r="E947" s="225"/>
      <c r="F947" s="225"/>
      <c r="G947" s="225"/>
      <c r="H947" s="225"/>
      <c r="I947" s="225"/>
      <c r="J947" s="225"/>
      <c r="K947" s="225"/>
      <c r="L947" s="225"/>
      <c r="M947" s="225"/>
      <c r="N947" s="225"/>
      <c r="O947" s="225"/>
      <c r="P947" s="225"/>
      <c r="Q947" s="225"/>
      <c r="R947" s="225"/>
      <c r="S947" s="225"/>
      <c r="T947" s="225"/>
      <c r="U947" s="225"/>
      <c r="V947" s="225"/>
      <c r="W947" s="225"/>
      <c r="X947" s="225"/>
    </row>
    <row r="948" spans="1:24" ht="14.25" x14ac:dyDescent="0.2">
      <c r="A948" s="225"/>
      <c r="B948" s="225"/>
      <c r="C948" s="225"/>
      <c r="D948" s="225"/>
      <c r="E948" s="225"/>
      <c r="F948" s="225"/>
      <c r="G948" s="225"/>
      <c r="H948" s="225"/>
      <c r="I948" s="225"/>
      <c r="J948" s="225"/>
      <c r="K948" s="225"/>
      <c r="L948" s="225"/>
      <c r="M948" s="225"/>
      <c r="N948" s="225"/>
      <c r="O948" s="225"/>
      <c r="P948" s="225"/>
      <c r="Q948" s="225"/>
      <c r="R948" s="225"/>
      <c r="S948" s="225"/>
      <c r="T948" s="225"/>
      <c r="U948" s="225"/>
      <c r="V948" s="225"/>
      <c r="W948" s="225"/>
      <c r="X948" s="225"/>
    </row>
    <row r="949" spans="1:24" ht="14.25" x14ac:dyDescent="0.2">
      <c r="A949" s="225"/>
      <c r="B949" s="225"/>
      <c r="C949" s="225"/>
      <c r="D949" s="225"/>
      <c r="E949" s="225"/>
      <c r="F949" s="225"/>
      <c r="G949" s="225"/>
      <c r="H949" s="225"/>
      <c r="I949" s="225"/>
      <c r="J949" s="225"/>
      <c r="K949" s="225"/>
      <c r="L949" s="225"/>
      <c r="M949" s="225"/>
      <c r="N949" s="225"/>
      <c r="O949" s="225"/>
      <c r="P949" s="225"/>
      <c r="Q949" s="225"/>
      <c r="R949" s="225"/>
      <c r="S949" s="225"/>
      <c r="T949" s="225"/>
      <c r="U949" s="225"/>
      <c r="V949" s="225"/>
      <c r="W949" s="225"/>
      <c r="X949" s="225"/>
    </row>
    <row r="950" spans="1:24" ht="14.25" x14ac:dyDescent="0.2">
      <c r="A950" s="225"/>
      <c r="B950" s="225"/>
      <c r="C950" s="225"/>
      <c r="D950" s="225"/>
      <c r="E950" s="225"/>
      <c r="F950" s="225"/>
      <c r="G950" s="225"/>
      <c r="H950" s="225"/>
      <c r="I950" s="225"/>
      <c r="J950" s="225"/>
      <c r="K950" s="225"/>
      <c r="L950" s="225"/>
      <c r="M950" s="225"/>
      <c r="N950" s="225"/>
      <c r="O950" s="225"/>
      <c r="P950" s="225"/>
      <c r="Q950" s="225"/>
      <c r="R950" s="225"/>
      <c r="S950" s="225"/>
      <c r="T950" s="225"/>
      <c r="U950" s="225"/>
      <c r="V950" s="225"/>
      <c r="W950" s="225"/>
      <c r="X950" s="225"/>
    </row>
    <row r="951" spans="1:24" ht="14.25" x14ac:dyDescent="0.2">
      <c r="A951" s="225"/>
      <c r="B951" s="225"/>
      <c r="C951" s="225"/>
      <c r="D951" s="225"/>
      <c r="E951" s="225"/>
      <c r="F951" s="225"/>
      <c r="G951" s="225"/>
      <c r="H951" s="225"/>
      <c r="I951" s="225"/>
      <c r="J951" s="225"/>
      <c r="K951" s="225"/>
      <c r="L951" s="225"/>
      <c r="M951" s="225"/>
      <c r="N951" s="225"/>
      <c r="O951" s="225"/>
      <c r="P951" s="225"/>
      <c r="Q951" s="225"/>
      <c r="R951" s="225"/>
      <c r="S951" s="225"/>
      <c r="T951" s="225"/>
      <c r="U951" s="225"/>
      <c r="V951" s="225"/>
      <c r="W951" s="225"/>
      <c r="X951" s="225"/>
    </row>
    <row r="952" spans="1:24" ht="14.25" x14ac:dyDescent="0.2">
      <c r="A952" s="225"/>
      <c r="B952" s="225"/>
      <c r="C952" s="225"/>
      <c r="D952" s="225"/>
      <c r="E952" s="225"/>
      <c r="F952" s="225"/>
      <c r="G952" s="225"/>
      <c r="H952" s="225"/>
      <c r="I952" s="225"/>
      <c r="J952" s="225"/>
      <c r="K952" s="225"/>
      <c r="L952" s="225"/>
      <c r="M952" s="225"/>
      <c r="N952" s="225"/>
      <c r="O952" s="225"/>
      <c r="P952" s="225"/>
      <c r="Q952" s="225"/>
      <c r="R952" s="225"/>
      <c r="S952" s="225"/>
      <c r="T952" s="225"/>
      <c r="U952" s="225"/>
      <c r="V952" s="225"/>
      <c r="W952" s="225"/>
      <c r="X952" s="225"/>
    </row>
    <row r="953" spans="1:24" ht="14.25" x14ac:dyDescent="0.2">
      <c r="A953" s="225"/>
      <c r="B953" s="225"/>
      <c r="C953" s="225"/>
      <c r="D953" s="225"/>
      <c r="E953" s="225"/>
      <c r="F953" s="225"/>
      <c r="G953" s="225"/>
      <c r="H953" s="225"/>
      <c r="I953" s="225"/>
      <c r="J953" s="225"/>
      <c r="K953" s="225"/>
      <c r="L953" s="225"/>
      <c r="M953" s="225"/>
      <c r="N953" s="225"/>
      <c r="O953" s="225"/>
      <c r="P953" s="225"/>
      <c r="Q953" s="225"/>
      <c r="R953" s="225"/>
      <c r="S953" s="225"/>
      <c r="T953" s="225"/>
      <c r="U953" s="225"/>
      <c r="V953" s="225"/>
      <c r="W953" s="225"/>
      <c r="X953" s="225"/>
    </row>
    <row r="954" spans="1:24" ht="14.25" x14ac:dyDescent="0.2">
      <c r="A954" s="225"/>
      <c r="B954" s="225"/>
      <c r="C954" s="225"/>
      <c r="D954" s="225"/>
      <c r="E954" s="225"/>
      <c r="F954" s="225"/>
      <c r="G954" s="225"/>
      <c r="H954" s="225"/>
      <c r="I954" s="225"/>
      <c r="J954" s="225"/>
      <c r="K954" s="225"/>
      <c r="L954" s="225"/>
      <c r="M954" s="225"/>
      <c r="N954" s="225"/>
      <c r="O954" s="225"/>
      <c r="P954" s="225"/>
      <c r="Q954" s="225"/>
      <c r="R954" s="225"/>
      <c r="S954" s="225"/>
      <c r="T954" s="225"/>
      <c r="U954" s="225"/>
      <c r="V954" s="225"/>
      <c r="W954" s="225"/>
      <c r="X954" s="225"/>
    </row>
    <row r="955" spans="1:24" ht="14.25" x14ac:dyDescent="0.2">
      <c r="A955" s="225"/>
      <c r="B955" s="225"/>
      <c r="C955" s="225"/>
      <c r="D955" s="225"/>
      <c r="E955" s="225"/>
      <c r="F955" s="225"/>
      <c r="G955" s="225"/>
      <c r="H955" s="225"/>
      <c r="I955" s="225"/>
      <c r="J955" s="225"/>
      <c r="K955" s="225"/>
      <c r="L955" s="225"/>
      <c r="M955" s="225"/>
      <c r="N955" s="225"/>
      <c r="O955" s="225"/>
      <c r="P955" s="225"/>
      <c r="Q955" s="225"/>
      <c r="R955" s="225"/>
      <c r="S955" s="225"/>
      <c r="T955" s="225"/>
      <c r="U955" s="225"/>
      <c r="V955" s="225"/>
      <c r="W955" s="225"/>
      <c r="X955" s="225"/>
    </row>
    <row r="956" spans="1:24" ht="14.25" x14ac:dyDescent="0.2">
      <c r="A956" s="225"/>
      <c r="B956" s="225"/>
      <c r="C956" s="225"/>
      <c r="D956" s="225"/>
      <c r="E956" s="225"/>
      <c r="F956" s="225"/>
      <c r="G956" s="225"/>
      <c r="H956" s="225"/>
      <c r="I956" s="225"/>
      <c r="J956" s="225"/>
      <c r="K956" s="225"/>
      <c r="L956" s="225"/>
      <c r="M956" s="225"/>
      <c r="N956" s="225"/>
      <c r="O956" s="225"/>
      <c r="P956" s="225"/>
      <c r="Q956" s="225"/>
      <c r="R956" s="225"/>
      <c r="S956" s="225"/>
      <c r="T956" s="225"/>
      <c r="U956" s="225"/>
      <c r="V956" s="225"/>
      <c r="W956" s="225"/>
      <c r="X956" s="225"/>
    </row>
    <row r="957" spans="1:24" ht="14.25" x14ac:dyDescent="0.2">
      <c r="A957" s="225"/>
      <c r="B957" s="225"/>
      <c r="C957" s="225"/>
      <c r="D957" s="225"/>
      <c r="E957" s="225"/>
      <c r="F957" s="225"/>
      <c r="G957" s="225"/>
      <c r="H957" s="225"/>
      <c r="I957" s="225"/>
      <c r="J957" s="225"/>
      <c r="K957" s="225"/>
      <c r="L957" s="225"/>
      <c r="M957" s="225"/>
      <c r="N957" s="225"/>
      <c r="O957" s="225"/>
      <c r="P957" s="225"/>
      <c r="Q957" s="225"/>
      <c r="R957" s="225"/>
      <c r="S957" s="225"/>
      <c r="T957" s="225"/>
      <c r="U957" s="225"/>
      <c r="V957" s="225"/>
      <c r="W957" s="225"/>
      <c r="X957" s="225"/>
    </row>
    <row r="958" spans="1:24" ht="14.25" x14ac:dyDescent="0.2">
      <c r="A958" s="225"/>
      <c r="B958" s="225"/>
      <c r="C958" s="225"/>
      <c r="D958" s="225"/>
      <c r="E958" s="225"/>
      <c r="F958" s="225"/>
      <c r="G958" s="225"/>
      <c r="H958" s="225"/>
      <c r="I958" s="225"/>
      <c r="J958" s="225"/>
      <c r="K958" s="225"/>
      <c r="L958" s="225"/>
      <c r="M958" s="225"/>
      <c r="N958" s="225"/>
      <c r="O958" s="225"/>
      <c r="P958" s="225"/>
      <c r="Q958" s="225"/>
      <c r="R958" s="225"/>
      <c r="S958" s="225"/>
      <c r="T958" s="225"/>
      <c r="U958" s="225"/>
      <c r="V958" s="225"/>
      <c r="W958" s="225"/>
      <c r="X958" s="225"/>
    </row>
    <row r="959" spans="1:24" ht="14.25" x14ac:dyDescent="0.2">
      <c r="A959" s="225"/>
      <c r="B959" s="225"/>
      <c r="C959" s="225"/>
      <c r="D959" s="225"/>
      <c r="E959" s="225"/>
      <c r="F959" s="225"/>
      <c r="G959" s="225"/>
      <c r="H959" s="225"/>
      <c r="I959" s="225"/>
      <c r="J959" s="225"/>
      <c r="K959" s="225"/>
      <c r="L959" s="225"/>
      <c r="M959" s="225"/>
      <c r="N959" s="225"/>
      <c r="O959" s="225"/>
      <c r="P959" s="225"/>
      <c r="Q959" s="225"/>
      <c r="R959" s="225"/>
      <c r="S959" s="225"/>
      <c r="T959" s="225"/>
      <c r="U959" s="225"/>
      <c r="V959" s="225"/>
      <c r="W959" s="225"/>
      <c r="X959" s="225"/>
    </row>
    <row r="960" spans="1:24" ht="14.25" x14ac:dyDescent="0.2">
      <c r="A960" s="225"/>
      <c r="B960" s="225"/>
      <c r="C960" s="225"/>
      <c r="D960" s="225"/>
      <c r="E960" s="225"/>
      <c r="F960" s="225"/>
      <c r="G960" s="225"/>
      <c r="H960" s="225"/>
      <c r="I960" s="225"/>
      <c r="J960" s="225"/>
      <c r="K960" s="225"/>
      <c r="L960" s="225"/>
      <c r="M960" s="225"/>
      <c r="N960" s="225"/>
      <c r="O960" s="225"/>
      <c r="P960" s="225"/>
      <c r="Q960" s="225"/>
      <c r="R960" s="225"/>
      <c r="S960" s="225"/>
      <c r="T960" s="225"/>
      <c r="U960" s="225"/>
      <c r="V960" s="225"/>
      <c r="W960" s="225"/>
      <c r="X960" s="225"/>
    </row>
    <row r="961" spans="1:24" ht="14.25" x14ac:dyDescent="0.2">
      <c r="A961" s="225"/>
      <c r="B961" s="225"/>
      <c r="C961" s="225"/>
      <c r="D961" s="225"/>
      <c r="E961" s="225"/>
      <c r="F961" s="225"/>
      <c r="G961" s="225"/>
      <c r="H961" s="225"/>
      <c r="I961" s="225"/>
      <c r="J961" s="225"/>
      <c r="K961" s="225"/>
      <c r="L961" s="225"/>
      <c r="M961" s="225"/>
      <c r="N961" s="225"/>
      <c r="O961" s="225"/>
      <c r="P961" s="225"/>
      <c r="Q961" s="225"/>
      <c r="R961" s="225"/>
      <c r="S961" s="225"/>
      <c r="T961" s="225"/>
      <c r="U961" s="225"/>
      <c r="V961" s="225"/>
      <c r="W961" s="225"/>
      <c r="X961" s="225"/>
    </row>
    <row r="962" spans="1:24" ht="14.25" x14ac:dyDescent="0.2">
      <c r="A962" s="225"/>
      <c r="B962" s="225"/>
      <c r="C962" s="225"/>
      <c r="D962" s="225"/>
      <c r="E962" s="225"/>
      <c r="F962" s="225"/>
      <c r="G962" s="225"/>
      <c r="H962" s="225"/>
      <c r="I962" s="225"/>
      <c r="J962" s="225"/>
      <c r="K962" s="225"/>
      <c r="L962" s="225"/>
      <c r="M962" s="225"/>
      <c r="N962" s="225"/>
      <c r="O962" s="225"/>
      <c r="P962" s="225"/>
      <c r="Q962" s="225"/>
      <c r="R962" s="225"/>
      <c r="S962" s="225"/>
      <c r="T962" s="225"/>
      <c r="U962" s="225"/>
      <c r="V962" s="225"/>
      <c r="W962" s="225"/>
      <c r="X962" s="225"/>
    </row>
    <row r="963" spans="1:24" ht="14.25" x14ac:dyDescent="0.2">
      <c r="A963" s="225"/>
      <c r="B963" s="225"/>
      <c r="C963" s="225"/>
      <c r="D963" s="225"/>
      <c r="E963" s="225"/>
      <c r="F963" s="225"/>
      <c r="G963" s="225"/>
      <c r="H963" s="225"/>
      <c r="I963" s="225"/>
      <c r="J963" s="225"/>
      <c r="K963" s="225"/>
      <c r="L963" s="225"/>
      <c r="M963" s="225"/>
      <c r="N963" s="225"/>
      <c r="O963" s="225"/>
      <c r="P963" s="225"/>
      <c r="Q963" s="225"/>
      <c r="R963" s="225"/>
      <c r="S963" s="225"/>
      <c r="T963" s="225"/>
      <c r="U963" s="225"/>
      <c r="V963" s="225"/>
      <c r="W963" s="225"/>
      <c r="X963" s="225"/>
    </row>
  </sheetData>
  <protectedRanges>
    <protectedRange algorithmName="SHA-512" hashValue="j3XsBJ/4oW7THc1pniNLw8XRBsgESbQ857IwPu949UcSVPY96V3DWuZX1U2Ec93m6DuuFDc7tboDDTyMEKyTDQ==" saltValue="X+TUyFS1zuOqoTMBESWM/A==" spinCount="100000" sqref="U335:X1048576" name="Scoring_2_1"/>
    <protectedRange algorithmName="SHA-512" hashValue="hMq1DBbiST668jQyDIjIdbBnNW/u/dnbrQHZfHWR7uIKwZIiBO+5ViwdHPKc92t7W7d7IST1EqGe60eXCoNiBQ==" saltValue="NLiPFIp7sPxnbiXS647sLw==" spinCount="100000" sqref="C335:N1048576" name="CN_2_1"/>
    <protectedRange algorithmName="SHA-512" hashValue="VeZxzcLzQLMY74mwZ3DEb7CD93dWi64TdZtCudah6V3/NiExsNLX6eMmYvZ1d+Bvt41C3C+VTL2soEmQak61mw==" saltValue="v5uT1IpTW7cftqGrkR6zIQ==" spinCount="100000" sqref="A335:A995" name="ID_2_1"/>
    <protectedRange algorithmName="SHA-512" hashValue="j3XsBJ/4oW7THc1pniNLw8XRBsgESbQ857IwPu949UcSVPY96V3DWuZX1U2Ec93m6DuuFDc7tboDDTyMEKyTDQ==" saltValue="X+TUyFS1zuOqoTMBESWM/A==" spinCount="100000" sqref="U1:X334" name="Scoring_2_1_1"/>
    <protectedRange algorithmName="SHA-512" hashValue="hMq1DBbiST668jQyDIjIdbBnNW/u/dnbrQHZfHWR7uIKwZIiBO+5ViwdHPKc92t7W7d7IST1EqGe60eXCoNiBQ==" saltValue="NLiPFIp7sPxnbiXS647sLw==" spinCount="100000" sqref="C1:N334" name="CN_2_1_1"/>
    <protectedRange algorithmName="SHA-512" hashValue="VeZxzcLzQLMY74mwZ3DEb7CD93dWi64TdZtCudah6V3/NiExsNLX6eMmYvZ1d+Bvt41C3C+VTL2soEmQak61mw==" saltValue="v5uT1IpTW7cftqGrkR6zIQ==" spinCount="100000" sqref="A2:A334" name="ID_2_1_1"/>
  </protectedRanges>
  <autoFilter ref="A2:X334" xr:uid="{F149DD12-A215-4F94-9D0E-7008C3D3A25F}"/>
  <phoneticPr fontId="26"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E2" zoomScale="90" zoomScaleNormal="90" workbookViewId="0">
      <selection activeCell="J5" sqref="J5"/>
    </sheetView>
  </sheetViews>
  <sheetFormatPr defaultColWidth="0" defaultRowHeight="15.75" customHeight="1" zeroHeight="1" x14ac:dyDescent="0.25"/>
  <cols>
    <col min="1" max="1" width="67" style="5" bestFit="1" customWidth="1"/>
    <col min="2" max="2" width="28.69921875" style="5" bestFit="1" customWidth="1"/>
    <col min="3" max="3" width="2.59765625" style="227" customWidth="1"/>
    <col min="4" max="4" width="78.09765625" style="5" customWidth="1"/>
    <col min="5" max="5" width="2.59765625" style="229" customWidth="1"/>
    <col min="6" max="6" width="101.69921875" style="5" customWidth="1"/>
    <col min="7" max="7" width="2.59765625" style="229" customWidth="1"/>
    <col min="8" max="8" width="73" style="5" customWidth="1"/>
    <col min="9" max="9" width="2.59765625" style="229" customWidth="1"/>
    <col min="10" max="10" width="14.59765625" style="5" customWidth="1"/>
    <col min="11" max="11" width="2.59765625" style="229" customWidth="1"/>
    <col min="12" max="12" width="14.59765625" style="5" customWidth="1"/>
    <col min="13" max="13" width="2.59765625" style="229" customWidth="1"/>
    <col min="14" max="14" width="8.796875" style="5" customWidth="1"/>
    <col min="15" max="15" width="40.09765625" style="5" bestFit="1" customWidth="1"/>
    <col min="16" max="17" width="8.796875" style="5" customWidth="1"/>
    <col min="18" max="34" width="0" style="5" hidden="1" customWidth="1"/>
    <col min="35" max="16384" width="8.796875" style="5" hidden="1"/>
  </cols>
  <sheetData>
    <row r="1" spans="1:34" ht="15.75" hidden="1" customHeight="1" x14ac:dyDescent="0.25">
      <c r="A1" s="243" t="s">
        <v>1455</v>
      </c>
    </row>
    <row r="2" spans="1:34" ht="13.5" x14ac:dyDescent="0.25">
      <c r="A2" s="7" t="s">
        <v>1443</v>
      </c>
      <c r="B2" s="7" t="s">
        <v>846</v>
      </c>
      <c r="C2" s="226"/>
      <c r="D2" s="7" t="s">
        <v>865</v>
      </c>
      <c r="E2" s="228"/>
      <c r="F2" s="7" t="s">
        <v>939</v>
      </c>
      <c r="G2" s="228"/>
      <c r="H2" s="7" t="s">
        <v>1152</v>
      </c>
      <c r="I2" s="228"/>
      <c r="J2" s="92" t="s">
        <v>853</v>
      </c>
      <c r="K2" s="232"/>
      <c r="L2" s="92" t="s">
        <v>1156</v>
      </c>
      <c r="M2" s="232"/>
      <c r="N2" s="92" t="s">
        <v>957</v>
      </c>
      <c r="P2" s="62"/>
      <c r="Q2" s="7"/>
      <c r="R2" s="7"/>
      <c r="S2" s="7"/>
      <c r="T2" s="7"/>
      <c r="U2" s="7"/>
      <c r="V2" s="7"/>
      <c r="W2" s="7"/>
      <c r="X2" s="7"/>
      <c r="Y2" s="7"/>
      <c r="Z2" s="7"/>
      <c r="AA2" s="7"/>
      <c r="AB2" s="7"/>
      <c r="AC2" s="7"/>
      <c r="AD2" s="7"/>
      <c r="AE2" s="7"/>
      <c r="AF2" s="7"/>
      <c r="AG2" s="7"/>
      <c r="AH2" s="7"/>
    </row>
    <row r="3" spans="1:34" ht="13.5" x14ac:dyDescent="0.25">
      <c r="A3" s="6" t="s">
        <v>1490</v>
      </c>
      <c r="B3" s="6" t="s">
        <v>845</v>
      </c>
      <c r="D3" s="6" t="s">
        <v>820</v>
      </c>
      <c r="F3" s="6" t="s">
        <v>1150</v>
      </c>
      <c r="H3" s="216" t="s">
        <v>1032</v>
      </c>
      <c r="I3" s="230"/>
      <c r="J3" s="5" t="s">
        <v>40</v>
      </c>
      <c r="L3" s="5" t="s">
        <v>950</v>
      </c>
      <c r="N3" s="93" t="s">
        <v>955</v>
      </c>
      <c r="O3" s="93" t="s">
        <v>956</v>
      </c>
      <c r="P3" s="94" t="s">
        <v>937</v>
      </c>
    </row>
    <row r="4" spans="1:34" ht="13.5" x14ac:dyDescent="0.25">
      <c r="A4" s="6" t="s">
        <v>1491</v>
      </c>
      <c r="B4" s="6" t="s">
        <v>844</v>
      </c>
      <c r="D4" s="6" t="s">
        <v>1472</v>
      </c>
      <c r="F4" s="6" t="s">
        <v>872</v>
      </c>
      <c r="H4" s="6" t="s">
        <v>1033</v>
      </c>
      <c r="I4" s="231"/>
      <c r="J4" s="5" t="s">
        <v>148</v>
      </c>
      <c r="L4" s="5" t="s">
        <v>593</v>
      </c>
      <c r="N4" s="360" t="s">
        <v>874</v>
      </c>
      <c r="O4" s="5" t="s">
        <v>875</v>
      </c>
      <c r="P4" s="62">
        <f>COUNTIF('(backend scoring)'!$B:$B,'Auto Responses'!$N4)</f>
        <v>9</v>
      </c>
    </row>
    <row r="5" spans="1:34" ht="13.5" x14ac:dyDescent="0.25">
      <c r="A5" s="6" t="s">
        <v>1492</v>
      </c>
      <c r="B5" s="6" t="s">
        <v>843</v>
      </c>
      <c r="D5" s="6" t="s">
        <v>1505</v>
      </c>
      <c r="F5" s="6" t="s">
        <v>1405</v>
      </c>
      <c r="H5" s="6" t="s">
        <v>1513</v>
      </c>
      <c r="I5" s="231"/>
      <c r="J5" s="5" t="s">
        <v>1527</v>
      </c>
      <c r="L5" s="5" t="s">
        <v>951</v>
      </c>
      <c r="N5" s="360" t="s">
        <v>876</v>
      </c>
      <c r="O5" s="5" t="s">
        <v>877</v>
      </c>
      <c r="P5" s="62">
        <f>COUNTIF('(backend scoring)'!$B:$B,'Auto Responses'!$N5)</f>
        <v>5</v>
      </c>
    </row>
    <row r="6" spans="1:34" ht="13.5" x14ac:dyDescent="0.25">
      <c r="A6" s="6" t="s">
        <v>1493</v>
      </c>
      <c r="B6" s="6" t="s">
        <v>842</v>
      </c>
      <c r="D6" s="6" t="s">
        <v>1521</v>
      </c>
      <c r="F6" s="6" t="s">
        <v>1408</v>
      </c>
      <c r="L6" s="5" t="s">
        <v>952</v>
      </c>
      <c r="N6" s="360" t="s">
        <v>878</v>
      </c>
      <c r="O6" s="5" t="s">
        <v>879</v>
      </c>
      <c r="P6" s="62">
        <f>COUNTIF('(backend scoring)'!$B:$B,'Auto Responses'!$N6)</f>
        <v>8</v>
      </c>
    </row>
    <row r="7" spans="1:34" ht="13.5" x14ac:dyDescent="0.25">
      <c r="A7" s="6" t="s">
        <v>1494</v>
      </c>
      <c r="B7" s="6" t="s">
        <v>841</v>
      </c>
      <c r="D7" s="6" t="s">
        <v>1409</v>
      </c>
      <c r="F7" s="6" t="s">
        <v>1151</v>
      </c>
      <c r="J7" s="5" t="s">
        <v>854</v>
      </c>
      <c r="L7" s="5" t="s">
        <v>953</v>
      </c>
      <c r="N7" s="360" t="s">
        <v>880</v>
      </c>
      <c r="O7" s="5" t="s">
        <v>881</v>
      </c>
      <c r="P7" s="62">
        <f>COUNTIF('(backend scoring)'!$B:$B,'Auto Responses'!$N7)</f>
        <v>7</v>
      </c>
    </row>
    <row r="8" spans="1:34" ht="13.5" x14ac:dyDescent="0.25">
      <c r="A8" s="6" t="s">
        <v>1495</v>
      </c>
      <c r="B8" s="6" t="s">
        <v>840</v>
      </c>
      <c r="D8" s="5" t="s">
        <v>1404</v>
      </c>
      <c r="F8" s="5" t="s">
        <v>1469</v>
      </c>
      <c r="J8" s="5" t="s">
        <v>855</v>
      </c>
      <c r="L8" s="5" t="s">
        <v>954</v>
      </c>
      <c r="N8" s="360" t="s">
        <v>882</v>
      </c>
      <c r="O8" s="5" t="s">
        <v>883</v>
      </c>
      <c r="P8" s="62">
        <f>COUNTIF('(backend scoring)'!$B:$B,'Auto Responses'!$N8)</f>
        <v>18</v>
      </c>
    </row>
    <row r="9" spans="1:34" ht="13.5" x14ac:dyDescent="0.25">
      <c r="A9" s="6" t="s">
        <v>1496</v>
      </c>
      <c r="B9" s="6" t="s">
        <v>839</v>
      </c>
      <c r="D9" s="5" t="s">
        <v>1470</v>
      </c>
      <c r="L9" s="5" t="s">
        <v>646</v>
      </c>
      <c r="N9" s="360" t="s">
        <v>884</v>
      </c>
      <c r="O9" s="5" t="s">
        <v>885</v>
      </c>
      <c r="P9" s="62">
        <f>COUNTIF('(backend scoring)'!$B:$B,'Auto Responses'!$N9)</f>
        <v>5</v>
      </c>
    </row>
    <row r="10" spans="1:34" ht="13.5" x14ac:dyDescent="0.25">
      <c r="A10" s="6" t="s">
        <v>1702</v>
      </c>
      <c r="B10" s="6" t="s">
        <v>838</v>
      </c>
      <c r="N10" s="360" t="s">
        <v>886</v>
      </c>
      <c r="O10" s="5" t="s">
        <v>887</v>
      </c>
      <c r="P10" s="62">
        <f>COUNTIF('(backend scoring)'!$B:$B,'Auto Responses'!$N10)</f>
        <v>9</v>
      </c>
    </row>
    <row r="11" spans="1:34" ht="13.5" x14ac:dyDescent="0.25">
      <c r="A11" s="6" t="s">
        <v>1703</v>
      </c>
      <c r="B11" s="6" t="s">
        <v>837</v>
      </c>
      <c r="J11" s="5" t="s">
        <v>46</v>
      </c>
      <c r="N11" s="360" t="s">
        <v>888</v>
      </c>
      <c r="O11" s="5" t="s">
        <v>889</v>
      </c>
      <c r="P11" s="62">
        <f>COUNTIF('(backend scoring)'!$B:$B,'Auto Responses'!$N11)</f>
        <v>14</v>
      </c>
    </row>
    <row r="12" spans="1:34" ht="13.5" x14ac:dyDescent="0.25">
      <c r="A12" s="6" t="s">
        <v>1139</v>
      </c>
      <c r="B12" s="6" t="s">
        <v>836</v>
      </c>
      <c r="F12" s="6"/>
      <c r="J12" s="5" t="s">
        <v>75</v>
      </c>
      <c r="L12" s="92" t="s">
        <v>1860</v>
      </c>
      <c r="N12" s="360" t="s">
        <v>890</v>
      </c>
      <c r="O12" s="5" t="s">
        <v>1440</v>
      </c>
      <c r="P12" s="62">
        <f>COUNTIF('(backend scoring)'!$B:$B,'Auto Responses'!$N12)</f>
        <v>18</v>
      </c>
    </row>
    <row r="13" spans="1:34" ht="13.5" x14ac:dyDescent="0.25">
      <c r="A13" s="6" t="s">
        <v>1140</v>
      </c>
      <c r="B13" s="6" t="s">
        <v>835</v>
      </c>
      <c r="F13" s="6"/>
      <c r="J13" s="5" t="s">
        <v>41</v>
      </c>
      <c r="L13" s="5" t="s">
        <v>23</v>
      </c>
      <c r="N13" s="360" t="s">
        <v>891</v>
      </c>
      <c r="O13" s="5" t="s">
        <v>892</v>
      </c>
      <c r="P13" s="62">
        <f>COUNTIF('(backend scoring)'!$B:$B,'Auto Responses'!$N13)</f>
        <v>16</v>
      </c>
    </row>
    <row r="14" spans="1:34" ht="13.5" x14ac:dyDescent="0.25">
      <c r="A14" s="6" t="s">
        <v>53</v>
      </c>
      <c r="B14" s="6" t="s">
        <v>834</v>
      </c>
      <c r="J14" s="5" t="s">
        <v>868</v>
      </c>
      <c r="L14" s="5" t="s">
        <v>1861</v>
      </c>
      <c r="N14" s="360" t="s">
        <v>893</v>
      </c>
      <c r="O14" s="5" t="s">
        <v>894</v>
      </c>
      <c r="P14" s="62">
        <f>COUNTIF('(backend scoring)'!$B:$B,'Auto Responses'!$N14)</f>
        <v>23</v>
      </c>
    </row>
    <row r="15" spans="1:34" ht="13.5" x14ac:dyDescent="0.25">
      <c r="A15" s="6" t="s">
        <v>52</v>
      </c>
      <c r="B15" s="6" t="s">
        <v>833</v>
      </c>
      <c r="L15" s="5" t="s">
        <v>131</v>
      </c>
      <c r="N15" s="360" t="s">
        <v>895</v>
      </c>
      <c r="O15" s="5" t="s">
        <v>896</v>
      </c>
      <c r="P15" s="62">
        <f>COUNTIF('(backend scoring)'!$B:$B,'Auto Responses'!$N15)</f>
        <v>16</v>
      </c>
    </row>
    <row r="16" spans="1:34" ht="13.5" x14ac:dyDescent="0.25">
      <c r="A16" s="6" t="s">
        <v>1141</v>
      </c>
      <c r="B16" s="6" t="s">
        <v>832</v>
      </c>
      <c r="L16" s="5" t="s">
        <v>4</v>
      </c>
      <c r="N16" s="360" t="s">
        <v>897</v>
      </c>
      <c r="O16" s="5" t="s">
        <v>1518</v>
      </c>
      <c r="P16" s="62">
        <f>COUNTIF('(backend scoring)'!$B:$B,'Auto Responses'!$N16)</f>
        <v>11</v>
      </c>
    </row>
    <row r="17" spans="1:20" ht="13.5" x14ac:dyDescent="0.25">
      <c r="A17" s="6" t="s">
        <v>1142</v>
      </c>
      <c r="B17" s="6" t="s">
        <v>831</v>
      </c>
      <c r="J17" s="5" t="s">
        <v>1153</v>
      </c>
      <c r="L17" s="5" t="s">
        <v>162</v>
      </c>
      <c r="N17" s="360" t="s">
        <v>898</v>
      </c>
      <c r="O17" s="5" t="s">
        <v>899</v>
      </c>
      <c r="P17" s="62">
        <f>COUNTIF('(backend scoring)'!$B:$B,'Auto Responses'!$N17)</f>
        <v>15</v>
      </c>
    </row>
    <row r="18" spans="1:20" ht="13.5" x14ac:dyDescent="0.25">
      <c r="A18" s="6" t="s">
        <v>1143</v>
      </c>
      <c r="B18" s="6" t="s">
        <v>830</v>
      </c>
      <c r="J18" s="5" t="s">
        <v>1154</v>
      </c>
      <c r="L18" s="5" t="s">
        <v>98</v>
      </c>
      <c r="N18" s="360" t="s">
        <v>900</v>
      </c>
      <c r="O18" s="5" t="s">
        <v>901</v>
      </c>
      <c r="P18" s="62">
        <f>COUNTIF('(backend scoring)'!$B:$B,'Auto Responses'!$N18)</f>
        <v>4</v>
      </c>
    </row>
    <row r="19" spans="1:20" ht="13.5" x14ac:dyDescent="0.25">
      <c r="A19" s="6" t="s">
        <v>1144</v>
      </c>
      <c r="B19" s="6" t="s">
        <v>829</v>
      </c>
      <c r="J19" s="5" t="s">
        <v>1155</v>
      </c>
      <c r="L19" s="5" t="s">
        <v>147</v>
      </c>
      <c r="N19" s="360" t="s">
        <v>902</v>
      </c>
      <c r="O19" s="5" t="s">
        <v>903</v>
      </c>
      <c r="P19" s="62">
        <f>COUNTIF('(backend scoring)'!$B:$B,'Auto Responses'!$N19)</f>
        <v>6</v>
      </c>
    </row>
    <row r="20" spans="1:20" ht="13.5" x14ac:dyDescent="0.25">
      <c r="A20" s="6" t="s">
        <v>1145</v>
      </c>
      <c r="B20" s="6" t="s">
        <v>828</v>
      </c>
      <c r="J20" s="5" t="s">
        <v>862</v>
      </c>
      <c r="L20" s="5" t="s">
        <v>8</v>
      </c>
      <c r="N20" s="360" t="s">
        <v>904</v>
      </c>
      <c r="O20" s="5" t="s">
        <v>1441</v>
      </c>
      <c r="P20" s="62">
        <f>COUNTIF('(backend scoring)'!$B:$B,'Auto Responses'!$N20)</f>
        <v>29</v>
      </c>
    </row>
    <row r="21" spans="1:20" ht="13.5" x14ac:dyDescent="0.25">
      <c r="A21" s="6" t="s">
        <v>1146</v>
      </c>
      <c r="B21" s="6" t="s">
        <v>827</v>
      </c>
      <c r="J21" s="5" t="s">
        <v>863</v>
      </c>
      <c r="L21" s="5" t="s">
        <v>9</v>
      </c>
      <c r="N21" s="360" t="s">
        <v>905</v>
      </c>
      <c r="O21" s="5" t="s">
        <v>941</v>
      </c>
      <c r="P21" s="62">
        <f>COUNTIF('(backend scoring)'!$B:$B,'Auto Responses'!$N21)</f>
        <v>12</v>
      </c>
    </row>
    <row r="22" spans="1:20" ht="13.5" x14ac:dyDescent="0.25">
      <c r="A22" s="6" t="s">
        <v>1147</v>
      </c>
      <c r="B22" s="6" t="s">
        <v>826</v>
      </c>
      <c r="J22" s="5" t="s">
        <v>864</v>
      </c>
      <c r="N22" s="360" t="s">
        <v>906</v>
      </c>
      <c r="O22" s="5" t="s">
        <v>1148</v>
      </c>
      <c r="P22" s="62">
        <f>COUNTIF('(backend scoring)'!$B:$B,'Auto Responses'!$N22)</f>
        <v>10</v>
      </c>
    </row>
    <row r="23" spans="1:20" ht="13.5" x14ac:dyDescent="0.25">
      <c r="A23" s="6" t="s">
        <v>1149</v>
      </c>
      <c r="B23" s="6" t="s">
        <v>825</v>
      </c>
      <c r="J23" s="5" t="s">
        <v>1506</v>
      </c>
      <c r="N23" s="360" t="s">
        <v>907</v>
      </c>
      <c r="O23" s="5" t="s">
        <v>908</v>
      </c>
      <c r="P23" s="62">
        <f>COUNTIF('(backend scoring)'!$B:$B,'Auto Responses'!$N23)</f>
        <v>5</v>
      </c>
    </row>
    <row r="24" spans="1:20" ht="13.5" x14ac:dyDescent="0.25">
      <c r="A24" s="6" t="s">
        <v>1406</v>
      </c>
      <c r="B24" s="6" t="s">
        <v>824</v>
      </c>
      <c r="N24" s="360" t="s">
        <v>909</v>
      </c>
      <c r="O24" s="5" t="s">
        <v>910</v>
      </c>
      <c r="P24" s="62">
        <f>COUNTIF('(backend scoring)'!$B:$B,'Auto Responses'!$N24)</f>
        <v>4</v>
      </c>
    </row>
    <row r="25" spans="1:20" ht="13.5" x14ac:dyDescent="0.25">
      <c r="A25" s="6" t="s">
        <v>1407</v>
      </c>
      <c r="B25" s="6" t="s">
        <v>823</v>
      </c>
      <c r="N25" s="360" t="s">
        <v>911</v>
      </c>
      <c r="O25" s="5" t="s">
        <v>938</v>
      </c>
      <c r="P25" s="62">
        <f>COUNTIF('(backend scoring)'!$B:$B,'Auto Responses'!$N25)</f>
        <v>3</v>
      </c>
    </row>
    <row r="26" spans="1:20" ht="13.5" x14ac:dyDescent="0.25">
      <c r="A26" s="6" t="s">
        <v>822</v>
      </c>
      <c r="B26" s="6" t="s">
        <v>821</v>
      </c>
      <c r="N26" s="360" t="s">
        <v>912</v>
      </c>
      <c r="O26" s="5" t="s">
        <v>913</v>
      </c>
      <c r="P26" s="62">
        <f>COUNTIF('(backend scoring)'!$B:$B,'Auto Responses'!$N26)</f>
        <v>2</v>
      </c>
    </row>
    <row r="27" spans="1:20" ht="15.75" customHeight="1" x14ac:dyDescent="0.25">
      <c r="A27" s="5" t="s">
        <v>1403</v>
      </c>
      <c r="J27" s="5" t="s">
        <v>37</v>
      </c>
      <c r="N27" s="360" t="s">
        <v>914</v>
      </c>
      <c r="O27" s="5" t="s">
        <v>915</v>
      </c>
      <c r="P27" s="62">
        <f>COUNTIF('(backend scoring)'!$B:$B,'Auto Responses'!$N27)</f>
        <v>2</v>
      </c>
    </row>
    <row r="28" spans="1:20" ht="15.75" customHeight="1" x14ac:dyDescent="0.25">
      <c r="A28" s="6" t="s">
        <v>1863</v>
      </c>
      <c r="J28" s="5" t="s">
        <v>22</v>
      </c>
      <c r="N28" s="360" t="s">
        <v>916</v>
      </c>
      <c r="O28" s="5" t="s">
        <v>917</v>
      </c>
      <c r="P28" s="62">
        <f>COUNTIF('(backend scoring)'!$B:$B,'Auto Responses'!$N28)</f>
        <v>8</v>
      </c>
    </row>
    <row r="29" spans="1:20" ht="15.75" customHeight="1" x14ac:dyDescent="0.25">
      <c r="A29" s="6"/>
      <c r="N29" s="360" t="s">
        <v>918</v>
      </c>
      <c r="O29" s="5" t="s">
        <v>919</v>
      </c>
      <c r="P29" s="62">
        <f>COUNTIF('(backend scoring)'!$B:$B,'Auto Responses'!$N29)</f>
        <v>13</v>
      </c>
    </row>
    <row r="30" spans="1:20" ht="15.75" customHeight="1" x14ac:dyDescent="0.25">
      <c r="A30" s="6"/>
      <c r="N30" s="360" t="s">
        <v>920</v>
      </c>
      <c r="O30" s="5" t="s">
        <v>921</v>
      </c>
      <c r="P30" s="62">
        <f>COUNTIF('(backend scoring)'!$B:$B,'Auto Responses'!$N30)</f>
        <v>5</v>
      </c>
    </row>
    <row r="31" spans="1:20" ht="15.75" customHeight="1" x14ac:dyDescent="0.25">
      <c r="A31" s="6"/>
      <c r="N31" s="360" t="s">
        <v>1054</v>
      </c>
      <c r="O31" s="5" t="s">
        <v>922</v>
      </c>
      <c r="P31" s="62">
        <f>COUNTIF('(backend scoring)'!$B:$B,'Auto Responses'!$N31)</f>
        <v>15</v>
      </c>
      <c r="T31" s="6"/>
    </row>
    <row r="32" spans="1:20" ht="15.75" customHeight="1" x14ac:dyDescent="0.25">
      <c r="A32" s="6" t="str">
        <f>LEFT($A$3,21)</f>
        <v>Based on the response</v>
      </c>
      <c r="N32" s="360" t="s">
        <v>923</v>
      </c>
      <c r="O32" s="5" t="s">
        <v>924</v>
      </c>
      <c r="P32" s="62">
        <f>COUNTIF('(backend scoring)'!$B:$B,'Auto Responses'!$N32)</f>
        <v>8</v>
      </c>
    </row>
    <row r="33" spans="1:16" ht="15.75" customHeight="1" x14ac:dyDescent="0.25">
      <c r="A33" s="5" t="s">
        <v>1545</v>
      </c>
      <c r="N33" s="360" t="s">
        <v>925</v>
      </c>
      <c r="O33" s="5" t="s">
        <v>926</v>
      </c>
      <c r="P33" s="62">
        <f>COUNTIF('(backend scoring)'!$B:$B,'Auto Responses'!$N33)</f>
        <v>2</v>
      </c>
    </row>
    <row r="34" spans="1:16" ht="15.75" customHeight="1" x14ac:dyDescent="0.25">
      <c r="A34" s="6"/>
      <c r="N34" s="360" t="s">
        <v>927</v>
      </c>
      <c r="O34" s="5" t="s">
        <v>928</v>
      </c>
      <c r="P34" s="62">
        <f>COUNTIF('(backend scoring)'!$B:$B,'Auto Responses'!$N34)</f>
        <v>5</v>
      </c>
    </row>
    <row r="35" spans="1:16" ht="15.75" customHeight="1" x14ac:dyDescent="0.25">
      <c r="A35" s="6"/>
      <c r="N35" s="360" t="s">
        <v>929</v>
      </c>
      <c r="O35" s="5" t="s">
        <v>930</v>
      </c>
      <c r="P35" s="62">
        <f>COUNTIF('(backend scoring)'!$B:$B,'Auto Responses'!$N35)</f>
        <v>5</v>
      </c>
    </row>
    <row r="36" spans="1:16" ht="15.75" customHeight="1" x14ac:dyDescent="0.25">
      <c r="A36" s="6" t="s">
        <v>1864</v>
      </c>
      <c r="N36" s="360" t="s">
        <v>931</v>
      </c>
      <c r="O36" s="5" t="s">
        <v>932</v>
      </c>
      <c r="P36" s="62">
        <f>COUNTIF('(backend scoring)'!$B:$B,'Auto Responses'!$N36)</f>
        <v>5</v>
      </c>
    </row>
    <row r="37" spans="1:16" ht="15.75" customHeight="1" x14ac:dyDescent="0.25">
      <c r="A37" s="6"/>
      <c r="N37" s="360" t="s">
        <v>933</v>
      </c>
      <c r="O37" s="5" t="s">
        <v>934</v>
      </c>
      <c r="P37" s="62">
        <f>COUNTIF('(backend scoring)'!$B:$B,'Auto Responses'!$N37)</f>
        <v>8</v>
      </c>
    </row>
    <row r="38" spans="1:16" ht="15.75" customHeight="1" x14ac:dyDescent="0.25">
      <c r="A38" s="6"/>
      <c r="N38" s="360" t="s">
        <v>935</v>
      </c>
      <c r="O38" s="5" t="s">
        <v>936</v>
      </c>
      <c r="P38" s="62">
        <f>COUNTIF('(backend scoring)'!$B:$B,'Auto Responses'!$N38)</f>
        <v>6</v>
      </c>
    </row>
    <row r="39" spans="1:16" ht="15.75" customHeight="1" x14ac:dyDescent="0.25">
      <c r="A39" s="242" t="s">
        <v>1450</v>
      </c>
    </row>
    <row r="40" spans="1:16" ht="15.75" hidden="1" customHeight="1" x14ac:dyDescent="0.25">
      <c r="A40" s="6"/>
    </row>
    <row r="41" spans="1:16" ht="15.75" hidden="1" customHeight="1" x14ac:dyDescent="0.25">
      <c r="A41" s="6"/>
    </row>
    <row r="42" spans="1:16" ht="15.75" hidden="1" customHeight="1" x14ac:dyDescent="0.25">
      <c r="A42" s="216"/>
    </row>
    <row r="43" spans="1:16" ht="15.75" hidden="1" customHeight="1" x14ac:dyDescent="0.25">
      <c r="A43" s="6"/>
    </row>
    <row r="44" spans="1:16" ht="15.75" hidden="1" customHeight="1" x14ac:dyDescent="0.25">
      <c r="A44" s="6"/>
    </row>
    <row r="45" spans="1:16" ht="15.75" hidden="1" customHeight="1" x14ac:dyDescent="0.25">
      <c r="A45" s="6"/>
    </row>
    <row r="51" spans="4:4" ht="15.75" hidden="1" customHeight="1" x14ac:dyDescent="0.25">
      <c r="D51" s="217"/>
    </row>
    <row r="52" spans="4:4" ht="15.75" hidden="1" customHeight="1" x14ac:dyDescent="0.25">
      <c r="D52" s="217"/>
    </row>
    <row r="53" spans="4:4" ht="15.75" hidden="1" customHeight="1" x14ac:dyDescent="0.25">
      <c r="D53" s="217"/>
    </row>
    <row r="54" spans="4:4" ht="15.75" hidden="1" customHeight="1" x14ac:dyDescent="0.25">
      <c r="D54" s="217"/>
    </row>
    <row r="55" spans="4:4" ht="15.75" hidden="1" customHeight="1" x14ac:dyDescent="0.25">
      <c r="D55" s="217"/>
    </row>
    <row r="56" spans="4:4" ht="15.75" hidden="1" customHeight="1" x14ac:dyDescent="0.25">
      <c r="D56" s="217"/>
    </row>
    <row r="57" spans="4:4" ht="15.75" hidden="1" customHeight="1" x14ac:dyDescent="0.25">
      <c r="D57" s="217"/>
    </row>
    <row r="58" spans="4:4" ht="15.75" hidden="1" customHeight="1" x14ac:dyDescent="0.25">
      <c r="D58" s="217"/>
    </row>
    <row r="59" spans="4:4" ht="15.75" hidden="1" customHeight="1" x14ac:dyDescent="0.25">
      <c r="D59" s="217"/>
    </row>
    <row r="60" spans="4:4" ht="15.75" hidden="1" customHeight="1" x14ac:dyDescent="0.25">
      <c r="D60" s="217"/>
    </row>
    <row r="61" spans="4:4" ht="15.75" hidden="1" customHeight="1" x14ac:dyDescent="0.25">
      <c r="D61" s="217"/>
    </row>
    <row r="62" spans="4:4" ht="15.75" hidden="1" customHeight="1" x14ac:dyDescent="0.25">
      <c r="D62" s="217"/>
    </row>
    <row r="63" spans="4:4" ht="15.75" hidden="1" customHeight="1" x14ac:dyDescent="0.25">
      <c r="D63" s="217"/>
    </row>
    <row r="64" spans="4:4" ht="15.75" hidden="1" customHeight="1" x14ac:dyDescent="0.25">
      <c r="D64" s="217"/>
    </row>
    <row r="65" spans="4:4" ht="15.75" hidden="1" customHeight="1" x14ac:dyDescent="0.25">
      <c r="D65" s="217"/>
    </row>
  </sheetData>
  <conditionalFormatting sqref="D8">
    <cfRule type="expression" dxfId="0" priority="1">
      <formula>ISNUMBER(FIND("*",#REF!))</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E281" activePane="bottomRight" state="frozen"/>
      <selection pane="topRight" activeCell="B1" sqref="B1"/>
      <selection pane="bottomLeft" activeCell="A2" sqref="A2"/>
      <selection pane="bottomRight" activeCell="L288" sqref="L288"/>
    </sheetView>
  </sheetViews>
  <sheetFormatPr defaultColWidth="0" defaultRowHeight="15" zeroHeight="1" x14ac:dyDescent="0.2"/>
  <cols>
    <col min="1" max="1" width="8.796875" style="2" customWidth="1"/>
    <col min="2" max="2" width="0" style="2" hidden="1" customWidth="1"/>
    <col min="3" max="3" width="35.69921875" style="2" customWidth="1"/>
    <col min="4" max="4" width="15.3984375" style="2" customWidth="1"/>
    <col min="5" max="6" width="12.69921875" style="2" customWidth="1"/>
    <col min="7" max="8" width="8.796875" style="2" customWidth="1"/>
    <col min="9" max="10" width="10.8984375" style="2" customWidth="1"/>
    <col min="11" max="11" width="11.19921875" style="2" customWidth="1"/>
    <col min="12" max="12" width="12" style="107" customWidth="1"/>
    <col min="13" max="14" width="13" style="101" customWidth="1"/>
    <col min="15" max="16" width="8.796875" style="101" customWidth="1"/>
    <col min="17" max="22" width="8.796875" style="107" customWidth="1"/>
    <col min="23" max="23" width="8.796875" style="101" customWidth="1"/>
    <col min="24" max="16384" width="8.796875" style="101" hidden="1"/>
  </cols>
  <sheetData>
    <row r="1" spans="1:22" hidden="1" x14ac:dyDescent="0.2">
      <c r="A1" s="244" t="s">
        <v>1456</v>
      </c>
    </row>
    <row r="2" spans="1:22" ht="90" x14ac:dyDescent="0.2">
      <c r="A2" s="102" t="s">
        <v>0</v>
      </c>
      <c r="B2" s="108" t="s">
        <v>963</v>
      </c>
      <c r="C2" s="102" t="s">
        <v>1</v>
      </c>
      <c r="D2" s="102" t="s">
        <v>10</v>
      </c>
      <c r="E2" s="103" t="s">
        <v>11</v>
      </c>
      <c r="F2" s="104" t="s">
        <v>847</v>
      </c>
      <c r="G2" s="105" t="s">
        <v>869</v>
      </c>
      <c r="H2" s="105" t="s">
        <v>871</v>
      </c>
      <c r="I2" s="106" t="s">
        <v>19</v>
      </c>
      <c r="J2" s="105" t="s">
        <v>856</v>
      </c>
      <c r="K2" s="105" t="s">
        <v>961</v>
      </c>
      <c r="L2" s="105" t="s">
        <v>960</v>
      </c>
      <c r="M2" s="105" t="s">
        <v>962</v>
      </c>
      <c r="N2" s="105" t="s">
        <v>966</v>
      </c>
      <c r="O2" s="105" t="s">
        <v>958</v>
      </c>
      <c r="P2" s="105" t="s">
        <v>959</v>
      </c>
      <c r="Q2" s="159" t="s">
        <v>977</v>
      </c>
      <c r="R2" s="159" t="s">
        <v>978</v>
      </c>
      <c r="S2" s="159" t="s">
        <v>979</v>
      </c>
      <c r="T2" s="159" t="s">
        <v>980</v>
      </c>
      <c r="U2" s="159" t="s">
        <v>981</v>
      </c>
      <c r="V2" s="159" t="s">
        <v>982</v>
      </c>
    </row>
    <row r="3" spans="1:22" ht="57" x14ac:dyDescent="0.2">
      <c r="A3" s="4" t="str">
        <f>Questions!$A3</f>
        <v>GNRL-01</v>
      </c>
      <c r="B3" s="4" t="str">
        <f>LEFT(A3,4)</f>
        <v>GNRL</v>
      </c>
      <c r="C3" s="4" t="str">
        <f>VLOOKUP($A3,Questions!$A$3:$L$333,2,0)&amp;""</f>
        <v>Solution Provider Name</v>
      </c>
      <c r="D3" s="4" t="str">
        <f>VLOOKUP($A3,Questions!$A$3:$L$333,11,0)&amp;""</f>
        <v>NA</v>
      </c>
      <c r="E3" s="4" t="str">
        <f>VLOOKUP($A3,Questions!$A$3:$L$333,12,0)&amp;""</f>
        <v>Not Scored</v>
      </c>
      <c r="F3" s="4" t="str">
        <f>VLOOKUP($A3,'Institution Evaluation'!$A$56:$K$345,3,0)&amp;""</f>
        <v/>
      </c>
      <c r="G3" s="4" t="str">
        <f>VLOOKUP($A3,'Institution Evaluation'!$A$56:$K$345,7,0)&amp;""</f>
        <v>Not scored</v>
      </c>
      <c r="H3" s="4" t="str">
        <f>VLOOKUP($A3,'Institution Evaluation'!$A$56:$K$345,8,0)&amp;""</f>
        <v/>
      </c>
      <c r="I3" s="4" t="str">
        <f>VLOOKUP($A3,'Institution Evaluation'!$A$56:$K$345,9,0)&amp;""</f>
        <v/>
      </c>
      <c r="J3" s="4" t="str">
        <f>VLOOKUP($A3,'Institution Evaluation'!$A$56:$K$345,10,0)&amp;""</f>
        <v/>
      </c>
      <c r="K3" s="4">
        <f>IF($I3='Auto Responses'!$J$11,20,IF($I3='Auto Responses'!$J$13,5,10))</f>
        <v>10</v>
      </c>
      <c r="L3" s="107" t="str">
        <f>IF($E3='Auto Responses'!$L$13, 'Auto Responses'!$J$5,IF(AND($D3='Auto Responses'!$J$27,$H3=""),'Auto Responses'!$J$5,IF(AND($D3='Auto Responses'!$J$27,$H3='Auto Responses'!$J$7),1,IF(AND($D3='Auto Responses'!$J$27,$H3='Auto Responses'!$J$8),0,IF(OR(AND($F3=$G3,$H3=""),$H3='Auto Responses'!$J$7),1,0)))))</f>
        <v>N/A</v>
      </c>
      <c r="M3" s="4" t="str">
        <f>VLOOKUP($A3,'Institution Evaluation'!$A$56:$K$345,11,0)&amp;""</f>
        <v/>
      </c>
      <c r="N3" s="4">
        <f>IF($J3='Auto Responses'!$J$11,1,IF(AND($J3="",$I3='Auto Responses'!$J$11),1,0))</f>
        <v>0</v>
      </c>
      <c r="O3" s="107" t="str">
        <f>IF($E3='Auto Responses'!$L$13,'Auto Responses'!$J$5,IF($J3="",$K3,IF($J3='Auto Responses'!$J$13,5,IF($J3='Auto Responses'!$J$12,10,IF($J3='Auto Responses'!$J$11,20,0)))))</f>
        <v>N/A</v>
      </c>
      <c r="P3" s="107" t="str">
        <f>IF(OR($O3='Auto Responses'!$J$5,$L3='Auto Responses'!$J$5),'Auto Responses'!$J$5,$O3*$L3)</f>
        <v>N/A</v>
      </c>
      <c r="Q3" s="107">
        <f>IF(M3="TRUE",1,0)</f>
        <v>0</v>
      </c>
      <c r="R3" s="107">
        <f>Q3</f>
        <v>0</v>
      </c>
      <c r="S3" s="107">
        <f>IF(Q3=0,0,R3)</f>
        <v>0</v>
      </c>
      <c r="T3" s="107">
        <f>IF(N3=1,1,0)</f>
        <v>0</v>
      </c>
      <c r="U3" s="107">
        <f>T3</f>
        <v>0</v>
      </c>
      <c r="V3" s="107">
        <f>IF(T3=0,0,U3)</f>
        <v>0</v>
      </c>
    </row>
    <row r="4" spans="1:22" ht="57" x14ac:dyDescent="0.2">
      <c r="A4" s="4" t="str">
        <f>Questions!$A4</f>
        <v>GNRL-02</v>
      </c>
      <c r="B4" s="4" t="str">
        <f t="shared" ref="B4:B67" si="0">LEFT(A4,4)</f>
        <v>GNRL</v>
      </c>
      <c r="C4" s="4" t="str">
        <f>VLOOKUP($A4,Questions!$A$3:$L$333,2,0)&amp;""</f>
        <v>Solution Name</v>
      </c>
      <c r="D4" s="4" t="str">
        <f>VLOOKUP($A4,Questions!$A$3:$L$333,11,0)&amp;""</f>
        <v>NA</v>
      </c>
      <c r="E4" s="4" t="str">
        <f>VLOOKUP($A4,Questions!$A$3:$L$333,12,0)&amp;""</f>
        <v>Not Scored</v>
      </c>
      <c r="F4" s="4" t="str">
        <f>VLOOKUP($A4,'Institution Evaluation'!$A$56:$K$345,3,0)&amp;""</f>
        <v/>
      </c>
      <c r="G4" s="4" t="str">
        <f>VLOOKUP($A4,'Institution Evaluation'!$A$56:$K$345,7,0)&amp;""</f>
        <v>Not scored</v>
      </c>
      <c r="H4" s="4" t="str">
        <f>VLOOKUP($A4,'Institution Evaluation'!$A$56:$K$345,8,0)&amp;""</f>
        <v/>
      </c>
      <c r="I4" s="4" t="str">
        <f>VLOOKUP($A4,'Institution Evaluation'!$A$56:$K$345,9,0)&amp;""</f>
        <v/>
      </c>
      <c r="J4" s="4" t="str">
        <f>VLOOKUP($A4,'Institution Evaluation'!$A$56:$K$345,10,0)&amp;""</f>
        <v/>
      </c>
      <c r="K4" s="4">
        <f>IF($I4='Auto Responses'!$J$11,20,IF($I4='Auto Responses'!$J$13,5,10))</f>
        <v>10</v>
      </c>
      <c r="L4" s="107" t="str">
        <f>IF($E4='Auto Responses'!$L$13, 'Auto Responses'!$J$5,IF(AND($D4='Auto Responses'!$J$27,$H4=""),'Auto Responses'!$J$5,IF(AND($D4='Auto Responses'!$J$27,$H4='Auto Responses'!$J$7),1,IF(AND($D4='Auto Responses'!$J$27,$H4='Auto Responses'!$J$8),0,IF(OR(AND($F4=$G4,$H4=""),$H4='Auto Responses'!$J$7),1,0)))))</f>
        <v>N/A</v>
      </c>
      <c r="M4" s="4" t="str">
        <f>VLOOKUP($A4,'Institution Evaluation'!$A$56:$K$345,11,0)&amp;""</f>
        <v/>
      </c>
      <c r="N4" s="4">
        <f>IF($J4='Auto Responses'!$J$11,1,IF(AND($J4="",$I4='Auto Responses'!$J$11),1,0))</f>
        <v>0</v>
      </c>
      <c r="O4" s="107" t="str">
        <f>IF($E4='Auto Responses'!$L$13,'Auto Responses'!$J$5,IF($J4="",$K4,IF($J4='Auto Responses'!$J$13,5,IF($J4='Auto Responses'!$J$12,10,IF($J4='Auto Responses'!$J$11,20,0)))))</f>
        <v>N/A</v>
      </c>
      <c r="P4" s="107" t="str">
        <f>IF(OR($O4='Auto Responses'!$J$5,$L4='Auto Responses'!$J$5),'Auto Responses'!$J$5,$O4*$L4)</f>
        <v>N/A</v>
      </c>
      <c r="Q4" s="107">
        <f t="shared" ref="Q4:Q66" si="1">IF(M4="TRUE",1,0)</f>
        <v>0</v>
      </c>
      <c r="R4" s="107">
        <f>R3+Q4</f>
        <v>0</v>
      </c>
      <c r="S4" s="107">
        <f t="shared" ref="S4:S66" si="2">IF(Q4=0,0,R4)</f>
        <v>0</v>
      </c>
      <c r="T4" s="107">
        <f t="shared" ref="T4:T66" si="3">IF(N4=1,1,0)</f>
        <v>0</v>
      </c>
      <c r="U4" s="107">
        <f>U3+T4</f>
        <v>0</v>
      </c>
      <c r="V4" s="107">
        <f t="shared" ref="V4:V66" si="4">IF(T4=0,0,U4)</f>
        <v>0</v>
      </c>
    </row>
    <row r="5" spans="1:22" ht="57" x14ac:dyDescent="0.2">
      <c r="A5" s="4" t="str">
        <f>Questions!$A5</f>
        <v>GNRL-03</v>
      </c>
      <c r="B5" s="4" t="str">
        <f t="shared" si="0"/>
        <v>GNRL</v>
      </c>
      <c r="C5" s="4" t="str">
        <f>VLOOKUP($A5,Questions!$A$3:$L$333,2,0)&amp;""</f>
        <v>Solution Description</v>
      </c>
      <c r="D5" s="4" t="str">
        <f>VLOOKUP($A5,Questions!$A$3:$L$333,11,0)&amp;""</f>
        <v>NA</v>
      </c>
      <c r="E5" s="4" t="str">
        <f>VLOOKUP($A5,Questions!$A$3:$L$333,12,0)&amp;""</f>
        <v>Not Scored</v>
      </c>
      <c r="F5" s="4" t="str">
        <f>VLOOKUP($A5,'Institution Evaluation'!$A$56:$K$345,3,0)&amp;""</f>
        <v/>
      </c>
      <c r="G5" s="4" t="str">
        <f>VLOOKUP($A5,'Institution Evaluation'!$A$56:$K$345,7,0)&amp;""</f>
        <v>Not scored</v>
      </c>
      <c r="H5" s="4" t="str">
        <f>VLOOKUP($A5,'Institution Evaluation'!$A$56:$K$345,8,0)&amp;""</f>
        <v/>
      </c>
      <c r="I5" s="4" t="str">
        <f>VLOOKUP($A5,'Institution Evaluation'!$A$56:$K$345,9,0)&amp;""</f>
        <v/>
      </c>
      <c r="J5" s="4" t="str">
        <f>VLOOKUP($A5,'Institution Evaluation'!$A$56:$K$345,10,0)&amp;""</f>
        <v/>
      </c>
      <c r="K5" s="4">
        <f>IF($I5='Auto Responses'!$J$11,20,IF($I5='Auto Responses'!$J$13,5,10))</f>
        <v>10</v>
      </c>
      <c r="L5" s="107" t="str">
        <f>IF($E5='Auto Responses'!$L$13, 'Auto Responses'!$J$5,IF(AND($D5='Auto Responses'!$J$27,$H5=""),'Auto Responses'!$J$5,IF(AND($D5='Auto Responses'!$J$27,$H5='Auto Responses'!$J$7),1,IF(AND($D5='Auto Responses'!$J$27,$H5='Auto Responses'!$J$8),0,IF(OR(AND($F5=$G5,$H5=""),$H5='Auto Responses'!$J$7),1,0)))))</f>
        <v>N/A</v>
      </c>
      <c r="M5" s="4" t="str">
        <f>VLOOKUP($A5,'Institution Evaluation'!$A$56:$K$345,11,0)&amp;""</f>
        <v/>
      </c>
      <c r="N5" s="4">
        <f>IF($J5='Auto Responses'!$J$11,1,IF(AND($J5="",$I5='Auto Responses'!$J$11),1,0))</f>
        <v>0</v>
      </c>
      <c r="O5" s="107" t="str">
        <f>IF($E5='Auto Responses'!$L$13,'Auto Responses'!$J$5,IF($J5="",$K5,IF($J5='Auto Responses'!$J$13,5,IF($J5='Auto Responses'!$J$12,10,IF($J5='Auto Responses'!$J$11,20,0)))))</f>
        <v>N/A</v>
      </c>
      <c r="P5" s="107" t="str">
        <f>IF(OR($O5='Auto Responses'!$J$5,$L5='Auto Responses'!$J$5),'Auto Responses'!$J$5,$O5*$L5)</f>
        <v>N/A</v>
      </c>
      <c r="Q5" s="107">
        <f t="shared" si="1"/>
        <v>0</v>
      </c>
      <c r="R5" s="107">
        <f t="shared" ref="R5:R68" si="5">R4+Q5</f>
        <v>0</v>
      </c>
      <c r="S5" s="107">
        <f t="shared" si="2"/>
        <v>0</v>
      </c>
      <c r="T5" s="107">
        <f t="shared" si="3"/>
        <v>0</v>
      </c>
      <c r="U5" s="107">
        <f t="shared" ref="U5:U68" si="6">U4+T5</f>
        <v>0</v>
      </c>
      <c r="V5" s="107">
        <f t="shared" si="4"/>
        <v>0</v>
      </c>
    </row>
    <row r="6" spans="1:22" ht="57" x14ac:dyDescent="0.2">
      <c r="A6" s="4" t="str">
        <f>Questions!$A6</f>
        <v>GNRL-04</v>
      </c>
      <c r="B6" s="4" t="str">
        <f t="shared" si="0"/>
        <v>GNRL</v>
      </c>
      <c r="C6" s="4" t="str">
        <f>VLOOKUP($A6,Questions!$A$3:$L$333,2,0)&amp;""</f>
        <v>Solution Provider Contact Name</v>
      </c>
      <c r="D6" s="4" t="str">
        <f>VLOOKUP($A6,Questions!$A$3:$L$333,11,0)&amp;""</f>
        <v>NA</v>
      </c>
      <c r="E6" s="4" t="str">
        <f>VLOOKUP($A6,Questions!$A$3:$L$333,12,0)&amp;""</f>
        <v>Not Scored</v>
      </c>
      <c r="F6" s="4" t="str">
        <f>VLOOKUP($A6,'Institution Evaluation'!$A$56:$K$345,3,0)&amp;""</f>
        <v/>
      </c>
      <c r="G6" s="4" t="str">
        <f>VLOOKUP($A6,'Institution Evaluation'!$A$56:$K$345,7,0)&amp;""</f>
        <v>Not scored</v>
      </c>
      <c r="H6" s="4" t="str">
        <f>VLOOKUP($A6,'Institution Evaluation'!$A$56:$K$345,8,0)&amp;""</f>
        <v/>
      </c>
      <c r="I6" s="4" t="str">
        <f>VLOOKUP($A6,'Institution Evaluation'!$A$56:$K$345,9,0)&amp;""</f>
        <v/>
      </c>
      <c r="J6" s="4" t="str">
        <f>VLOOKUP($A6,'Institution Evaluation'!$A$56:$K$345,10,0)&amp;""</f>
        <v/>
      </c>
      <c r="K6" s="4">
        <f>IF($I6='Auto Responses'!$J$11,20,IF($I6='Auto Responses'!$J$13,5,10))</f>
        <v>10</v>
      </c>
      <c r="L6" s="107" t="str">
        <f>IF($E6='Auto Responses'!$L$13, 'Auto Responses'!$J$5,IF(AND($D6='Auto Responses'!$J$27,$H6=""),'Auto Responses'!$J$5,IF(AND($D6='Auto Responses'!$J$27,$H6='Auto Responses'!$J$7),1,IF(AND($D6='Auto Responses'!$J$27,$H6='Auto Responses'!$J$8),0,IF(OR(AND($F6=$G6,$H6=""),$H6='Auto Responses'!$J$7),1,0)))))</f>
        <v>N/A</v>
      </c>
      <c r="M6" s="4" t="str">
        <f>VLOOKUP($A6,'Institution Evaluation'!$A$56:$K$345,11,0)&amp;""</f>
        <v/>
      </c>
      <c r="N6" s="4">
        <f>IF($J6='Auto Responses'!$J$11,1,IF(AND($J6="",$I6='Auto Responses'!$J$11),1,0))</f>
        <v>0</v>
      </c>
      <c r="O6" s="107" t="str">
        <f>IF($E6='Auto Responses'!$L$13,'Auto Responses'!$J$5,IF($J6="",$K6,IF($J6='Auto Responses'!$J$13,5,IF($J6='Auto Responses'!$J$12,10,IF($J6='Auto Responses'!$J$11,20,0)))))</f>
        <v>N/A</v>
      </c>
      <c r="P6" s="107" t="str">
        <f>IF(OR($O6='Auto Responses'!$J$5,$L6='Auto Responses'!$J$5),'Auto Responses'!$J$5,$O6*$L6)</f>
        <v>N/A</v>
      </c>
      <c r="Q6" s="107">
        <f t="shared" si="1"/>
        <v>0</v>
      </c>
      <c r="R6" s="107">
        <f t="shared" si="5"/>
        <v>0</v>
      </c>
      <c r="S6" s="107">
        <f t="shared" si="2"/>
        <v>0</v>
      </c>
      <c r="T6" s="107">
        <f t="shared" si="3"/>
        <v>0</v>
      </c>
      <c r="U6" s="107">
        <f t="shared" si="6"/>
        <v>0</v>
      </c>
      <c r="V6" s="107">
        <f t="shared" si="4"/>
        <v>0</v>
      </c>
    </row>
    <row r="7" spans="1:22" ht="57" x14ac:dyDescent="0.2">
      <c r="A7" s="4" t="str">
        <f>Questions!$A7</f>
        <v>GNRL-05</v>
      </c>
      <c r="B7" s="4" t="str">
        <f t="shared" si="0"/>
        <v>GNRL</v>
      </c>
      <c r="C7" s="4" t="str">
        <f>VLOOKUP($A7,Questions!$A$3:$L$333,2,0)&amp;""</f>
        <v>Solution Provider Contact Title</v>
      </c>
      <c r="D7" s="4" t="str">
        <f>VLOOKUP($A7,Questions!$A$3:$L$333,11,0)&amp;""</f>
        <v>NA</v>
      </c>
      <c r="E7" s="4" t="str">
        <f>VLOOKUP($A7,Questions!$A$3:$L$333,12,0)&amp;""</f>
        <v>Not Scored</v>
      </c>
      <c r="F7" s="4" t="str">
        <f>VLOOKUP($A7,'Institution Evaluation'!$A$56:$K$345,3,0)&amp;""</f>
        <v/>
      </c>
      <c r="G7" s="4" t="str">
        <f>VLOOKUP($A7,'Institution Evaluation'!$A$56:$K$345,7,0)&amp;""</f>
        <v>Not scored</v>
      </c>
      <c r="H7" s="4" t="str">
        <f>VLOOKUP($A7,'Institution Evaluation'!$A$56:$K$345,8,0)&amp;""</f>
        <v/>
      </c>
      <c r="I7" s="4" t="str">
        <f>VLOOKUP($A7,'Institution Evaluation'!$A$56:$K$345,9,0)&amp;""</f>
        <v/>
      </c>
      <c r="J7" s="4" t="str">
        <f>VLOOKUP($A7,'Institution Evaluation'!$A$56:$K$345,10,0)&amp;""</f>
        <v/>
      </c>
      <c r="K7" s="4">
        <f>IF($I7='Auto Responses'!$J$11,20,IF($I7='Auto Responses'!$J$13,5,10))</f>
        <v>10</v>
      </c>
      <c r="L7" s="107" t="str">
        <f>IF($E7='Auto Responses'!$L$13, 'Auto Responses'!$J$5,IF(AND($D7='Auto Responses'!$J$27,$H7=""),'Auto Responses'!$J$5,IF(AND($D7='Auto Responses'!$J$27,$H7='Auto Responses'!$J$7),1,IF(AND($D7='Auto Responses'!$J$27,$H7='Auto Responses'!$J$8),0,IF(OR(AND($F7=$G7,$H7=""),$H7='Auto Responses'!$J$7),1,0)))))</f>
        <v>N/A</v>
      </c>
      <c r="M7" s="4" t="str">
        <f>VLOOKUP($A7,'Institution Evaluation'!$A$56:$K$345,11,0)&amp;""</f>
        <v/>
      </c>
      <c r="N7" s="4">
        <f>IF($J7='Auto Responses'!$J$11,1,IF(AND($J7="",$I7='Auto Responses'!$J$11),1,0))</f>
        <v>0</v>
      </c>
      <c r="O7" s="107" t="str">
        <f>IF($E7='Auto Responses'!$L$13,'Auto Responses'!$J$5,IF($J7="",$K7,IF($J7='Auto Responses'!$J$13,5,IF($J7='Auto Responses'!$J$12,10,IF($J7='Auto Responses'!$J$11,20,0)))))</f>
        <v>N/A</v>
      </c>
      <c r="P7" s="107" t="str">
        <f>IF(OR($O7='Auto Responses'!$J$5,$L7='Auto Responses'!$J$5),'Auto Responses'!$J$5,$O7*$L7)</f>
        <v>N/A</v>
      </c>
      <c r="Q7" s="107">
        <f t="shared" si="1"/>
        <v>0</v>
      </c>
      <c r="R7" s="107">
        <f t="shared" si="5"/>
        <v>0</v>
      </c>
      <c r="S7" s="107">
        <f t="shared" si="2"/>
        <v>0</v>
      </c>
      <c r="T7" s="107">
        <f t="shared" si="3"/>
        <v>0</v>
      </c>
      <c r="U7" s="107">
        <f t="shared" si="6"/>
        <v>0</v>
      </c>
      <c r="V7" s="107">
        <f t="shared" si="4"/>
        <v>0</v>
      </c>
    </row>
    <row r="8" spans="1:22" ht="57" x14ac:dyDescent="0.2">
      <c r="A8" s="4" t="str">
        <f>Questions!$A8</f>
        <v>GNRL-06</v>
      </c>
      <c r="B8" s="4" t="str">
        <f t="shared" si="0"/>
        <v>GNRL</v>
      </c>
      <c r="C8" s="4" t="str">
        <f>VLOOKUP($A8,Questions!$A$3:$L$333,2,0)&amp;""</f>
        <v>Solution Provider Contact Email</v>
      </c>
      <c r="D8" s="4" t="str">
        <f>VLOOKUP($A8,Questions!$A$3:$L$333,11,0)&amp;""</f>
        <v>NA</v>
      </c>
      <c r="E8" s="4" t="str">
        <f>VLOOKUP($A8,Questions!$A$3:$L$333,12,0)&amp;""</f>
        <v>Not Scored</v>
      </c>
      <c r="F8" s="4" t="str">
        <f>VLOOKUP($A8,'Institution Evaluation'!$A$56:$K$345,3,0)&amp;""</f>
        <v/>
      </c>
      <c r="G8" s="4" t="str">
        <f>VLOOKUP($A8,'Institution Evaluation'!$A$56:$K$345,7,0)&amp;""</f>
        <v>Not scored</v>
      </c>
      <c r="H8" s="4" t="str">
        <f>VLOOKUP($A8,'Institution Evaluation'!$A$56:$K$345,8,0)&amp;""</f>
        <v/>
      </c>
      <c r="I8" s="4" t="str">
        <f>VLOOKUP($A8,'Institution Evaluation'!$A$56:$K$345,9,0)&amp;""</f>
        <v/>
      </c>
      <c r="J8" s="4" t="str">
        <f>VLOOKUP($A8,'Institution Evaluation'!$A$56:$K$345,10,0)&amp;""</f>
        <v/>
      </c>
      <c r="K8" s="4">
        <f>IF($I8='Auto Responses'!$J$11,20,IF($I8='Auto Responses'!$J$13,5,10))</f>
        <v>10</v>
      </c>
      <c r="L8" s="107" t="str">
        <f>IF($E8='Auto Responses'!$L$13, 'Auto Responses'!$J$5,IF(AND($D8='Auto Responses'!$J$27,$H8=""),'Auto Responses'!$J$5,IF(AND($D8='Auto Responses'!$J$27,$H8='Auto Responses'!$J$7),1,IF(AND($D8='Auto Responses'!$J$27,$H8='Auto Responses'!$J$8),0,IF(OR(AND($F8=$G8,$H8=""),$H8='Auto Responses'!$J$7),1,0)))))</f>
        <v>N/A</v>
      </c>
      <c r="M8" s="4" t="str">
        <f>VLOOKUP($A8,'Institution Evaluation'!$A$56:$K$345,11,0)&amp;""</f>
        <v/>
      </c>
      <c r="N8" s="4">
        <f>IF($J8='Auto Responses'!$J$11,1,IF(AND($J8="",$I8='Auto Responses'!$J$11),1,0))</f>
        <v>0</v>
      </c>
      <c r="O8" s="107" t="str">
        <f>IF($E8='Auto Responses'!$L$13,'Auto Responses'!$J$5,IF($J8="",$K8,IF($J8='Auto Responses'!$J$13,5,IF($J8='Auto Responses'!$J$12,10,IF($J8='Auto Responses'!$J$11,20,0)))))</f>
        <v>N/A</v>
      </c>
      <c r="P8" s="107" t="str">
        <f>IF(OR($O8='Auto Responses'!$J$5,$L8='Auto Responses'!$J$5),'Auto Responses'!$J$5,$O8*$L8)</f>
        <v>N/A</v>
      </c>
      <c r="Q8" s="107">
        <f t="shared" si="1"/>
        <v>0</v>
      </c>
      <c r="R8" s="107">
        <f t="shared" si="5"/>
        <v>0</v>
      </c>
      <c r="S8" s="107">
        <f t="shared" si="2"/>
        <v>0</v>
      </c>
      <c r="T8" s="107">
        <f t="shared" si="3"/>
        <v>0</v>
      </c>
      <c r="U8" s="107">
        <f t="shared" si="6"/>
        <v>0</v>
      </c>
      <c r="V8" s="107">
        <f t="shared" si="4"/>
        <v>0</v>
      </c>
    </row>
    <row r="9" spans="1:22" ht="57" x14ac:dyDescent="0.2">
      <c r="A9" s="4" t="str">
        <f>Questions!$A9</f>
        <v>GNRL-07</v>
      </c>
      <c r="B9" s="4" t="str">
        <f t="shared" si="0"/>
        <v>GNRL</v>
      </c>
      <c r="C9" s="4" t="str">
        <f>VLOOKUP($A9,Questions!$A$3:$L$333,2,0)&amp;""</f>
        <v>Solution Provider Contact Phone Number</v>
      </c>
      <c r="D9" s="4" t="str">
        <f>VLOOKUP($A9,Questions!$A$3:$L$333,11,0)&amp;""</f>
        <v>NA</v>
      </c>
      <c r="E9" s="4" t="str">
        <f>VLOOKUP($A9,Questions!$A$3:$L$333,12,0)&amp;""</f>
        <v>Not Scored</v>
      </c>
      <c r="F9" s="4" t="str">
        <f>VLOOKUP($A9,'Institution Evaluation'!$A$56:$K$345,3,0)&amp;""</f>
        <v/>
      </c>
      <c r="G9" s="4" t="str">
        <f>VLOOKUP($A9,'Institution Evaluation'!$A$56:$K$345,7,0)&amp;""</f>
        <v>Not scored</v>
      </c>
      <c r="H9" s="4" t="str">
        <f>VLOOKUP($A9,'Institution Evaluation'!$A$56:$K$345,8,0)&amp;""</f>
        <v/>
      </c>
      <c r="I9" s="4" t="str">
        <f>VLOOKUP($A9,'Institution Evaluation'!$A$56:$K$345,9,0)&amp;""</f>
        <v/>
      </c>
      <c r="J9" s="4" t="str">
        <f>VLOOKUP($A9,'Institution Evaluation'!$A$56:$K$345,10,0)&amp;""</f>
        <v/>
      </c>
      <c r="K9" s="4">
        <f>IF($I9='Auto Responses'!$J$11,20,IF($I9='Auto Responses'!$J$13,5,10))</f>
        <v>10</v>
      </c>
      <c r="L9" s="107" t="str">
        <f>IF($E9='Auto Responses'!$L$13, 'Auto Responses'!$J$5,IF(AND($D9='Auto Responses'!$J$27,$H9=""),'Auto Responses'!$J$5,IF(AND($D9='Auto Responses'!$J$27,$H9='Auto Responses'!$J$7),1,IF(AND($D9='Auto Responses'!$J$27,$H9='Auto Responses'!$J$8),0,IF(OR(AND($F9=$G9,$H9=""),$H9='Auto Responses'!$J$7),1,0)))))</f>
        <v>N/A</v>
      </c>
      <c r="M9" s="4" t="str">
        <f>VLOOKUP($A9,'Institution Evaluation'!$A$56:$K$345,11,0)&amp;""</f>
        <v/>
      </c>
      <c r="N9" s="4">
        <f>IF($J9='Auto Responses'!$J$11,1,IF(AND($J9="",$I9='Auto Responses'!$J$11),1,0))</f>
        <v>0</v>
      </c>
      <c r="O9" s="107" t="str">
        <f>IF($E9='Auto Responses'!$L$13,'Auto Responses'!$J$5,IF($J9="",$K9,IF($J9='Auto Responses'!$J$13,5,IF($J9='Auto Responses'!$J$12,10,IF($J9='Auto Responses'!$J$11,20,0)))))</f>
        <v>N/A</v>
      </c>
      <c r="P9" s="107" t="str">
        <f>IF(OR($O9='Auto Responses'!$J$5,$L9='Auto Responses'!$J$5),'Auto Responses'!$J$5,$O9*$L9)</f>
        <v>N/A</v>
      </c>
      <c r="Q9" s="107">
        <f t="shared" si="1"/>
        <v>0</v>
      </c>
      <c r="R9" s="107">
        <f t="shared" si="5"/>
        <v>0</v>
      </c>
      <c r="S9" s="107">
        <f t="shared" si="2"/>
        <v>0</v>
      </c>
      <c r="T9" s="107">
        <f t="shared" si="3"/>
        <v>0</v>
      </c>
      <c r="U9" s="107">
        <f t="shared" si="6"/>
        <v>0</v>
      </c>
      <c r="V9" s="107">
        <f t="shared" si="4"/>
        <v>0</v>
      </c>
    </row>
    <row r="10" spans="1:22" ht="57" x14ac:dyDescent="0.2">
      <c r="A10" s="4" t="str">
        <f>Questions!$A10</f>
        <v>GNRL-08</v>
      </c>
      <c r="B10" s="4" t="str">
        <f t="shared" si="0"/>
        <v>GNRL</v>
      </c>
      <c r="C10" s="4" t="str">
        <f>VLOOKUP($A10,Questions!$A$3:$L$333,2,0)&amp;""</f>
        <v>Country of Company Headquarters</v>
      </c>
      <c r="D10" s="4" t="str">
        <f>VLOOKUP($A10,Questions!$A$3:$L$333,11,0)&amp;""</f>
        <v>NA</v>
      </c>
      <c r="E10" s="4" t="str">
        <f>VLOOKUP($A10,Questions!$A$3:$L$333,12,0)&amp;""</f>
        <v>Not Scored</v>
      </c>
      <c r="F10" s="4" t="str">
        <f>VLOOKUP($A10,'Institution Evaluation'!$A$56:$K$345,3,0)&amp;""</f>
        <v/>
      </c>
      <c r="G10" s="4" t="str">
        <f>VLOOKUP($A10,'Institution Evaluation'!$A$56:$K$345,7,0)&amp;""</f>
        <v>Not scored</v>
      </c>
      <c r="H10" s="4" t="str">
        <f>VLOOKUP($A10,'Institution Evaluation'!$A$56:$K$345,8,0)&amp;""</f>
        <v/>
      </c>
      <c r="I10" s="4" t="str">
        <f>VLOOKUP($A10,'Institution Evaluation'!$A$56:$K$345,9,0)&amp;""</f>
        <v/>
      </c>
      <c r="J10" s="4" t="str">
        <f>VLOOKUP($A10,'Institution Evaluation'!$A$56:$K$345,10,0)&amp;""</f>
        <v/>
      </c>
      <c r="K10" s="4">
        <f>IF($I10='Auto Responses'!$J$11,20,IF($I10='Auto Responses'!$J$13,5,10))</f>
        <v>10</v>
      </c>
      <c r="L10" s="107" t="str">
        <f>IF($E10='Auto Responses'!$L$13, 'Auto Responses'!$J$5,IF(AND($D10='Auto Responses'!$J$27,$H10=""),'Auto Responses'!$J$5,IF(AND($D10='Auto Responses'!$J$27,$H10='Auto Responses'!$J$7),1,IF(AND($D10='Auto Responses'!$J$27,$H10='Auto Responses'!$J$8),0,IF(OR(AND($F10=$G10,$H10=""),$H10='Auto Responses'!$J$7),1,0)))))</f>
        <v>N/A</v>
      </c>
      <c r="M10" s="4" t="str">
        <f>VLOOKUP($A10,'Institution Evaluation'!$A$56:$K$345,11,0)&amp;""</f>
        <v/>
      </c>
      <c r="N10" s="4">
        <f>IF($J10='Auto Responses'!$J$11,1,IF(AND($J10="",$I10='Auto Responses'!$J$11),1,0))</f>
        <v>0</v>
      </c>
      <c r="O10" s="107" t="str">
        <f>IF($E10='Auto Responses'!$L$13,'Auto Responses'!$J$5,IF($J10="",$K10,IF($J10='Auto Responses'!$J$13,5,IF($J10='Auto Responses'!$J$12,10,IF($J10='Auto Responses'!$J$11,20,0)))))</f>
        <v>N/A</v>
      </c>
      <c r="P10" s="107" t="str">
        <f>IF(OR($O10='Auto Responses'!$J$5,$L10='Auto Responses'!$J$5),'Auto Responses'!$J$5,$O10*$L10)</f>
        <v>N/A</v>
      </c>
      <c r="Q10" s="107">
        <f t="shared" si="1"/>
        <v>0</v>
      </c>
      <c r="R10" s="107">
        <f t="shared" si="5"/>
        <v>0</v>
      </c>
      <c r="S10" s="107">
        <f t="shared" si="2"/>
        <v>0</v>
      </c>
      <c r="T10" s="107">
        <f t="shared" si="3"/>
        <v>0</v>
      </c>
      <c r="U10" s="107">
        <f t="shared" si="6"/>
        <v>0</v>
      </c>
      <c r="V10" s="107">
        <f t="shared" si="4"/>
        <v>0</v>
      </c>
    </row>
    <row r="11" spans="1:22" ht="57" x14ac:dyDescent="0.2">
      <c r="A11" s="4" t="str">
        <f>Questions!$A11</f>
        <v>GNRL-09</v>
      </c>
      <c r="B11" s="4" t="str">
        <f t="shared" si="0"/>
        <v>GNRL</v>
      </c>
      <c r="C11" s="4" t="str">
        <f>VLOOKUP($A11,Questions!$A$3:$L$333,2,0)&amp;""</f>
        <v>Employee Work Locations (all)</v>
      </c>
      <c r="D11" s="4" t="s">
        <v>22</v>
      </c>
      <c r="E11" s="4" t="str">
        <f>VLOOKUP($A11,Questions!$A$3:$L$333,12,0)&amp;""</f>
        <v>Not Scored</v>
      </c>
      <c r="F11" s="4" t="str">
        <f>VLOOKUP($A11,'Institution Evaluation'!$A$56:$K$345,3,0)&amp;""</f>
        <v/>
      </c>
      <c r="G11" s="4" t="str">
        <f>VLOOKUP($A11,'Institution Evaluation'!$A$56:$K$345,7,0)&amp;""</f>
        <v>Not scored</v>
      </c>
      <c r="H11" s="4" t="str">
        <f>VLOOKUP($A11,'Institution Evaluation'!$A$56:$K$345,8,0)&amp;""</f>
        <v/>
      </c>
      <c r="I11" s="4" t="str">
        <f>VLOOKUP($A11,'Institution Evaluation'!$A$56:$K$345,9,0)&amp;""</f>
        <v/>
      </c>
      <c r="J11" s="4" t="str">
        <f>VLOOKUP($A11,'Institution Evaluation'!$A$56:$K$345,10,0)&amp;""</f>
        <v/>
      </c>
      <c r="K11" s="4">
        <f>IF($I11='Auto Responses'!$J$11,20,IF($I11='Auto Responses'!$J$13,5,10))</f>
        <v>10</v>
      </c>
      <c r="L11" s="107" t="str">
        <f>IF($E11='Auto Responses'!$L$13, 'Auto Responses'!$J$5,IF(AND($D11='Auto Responses'!$J$27,$H11=""),'Auto Responses'!$J$5,IF(AND($D11='Auto Responses'!$J$27,$H11='Auto Responses'!$J$7),1,IF(AND($D11='Auto Responses'!$J$27,$H11='Auto Responses'!$J$8),0,IF(OR(AND($F11=$G11,$H11=""),$H11='Auto Responses'!$J$7),1,0)))))</f>
        <v>N/A</v>
      </c>
      <c r="M11" s="4" t="str">
        <f>VLOOKUP($A11,'Institution Evaluation'!$A$56:$K$345,11,0)&amp;""</f>
        <v/>
      </c>
      <c r="N11" s="4">
        <f>IF($J11='Auto Responses'!$J$11,1,IF(AND($J11="",$I11='Auto Responses'!$J$11),1,0))</f>
        <v>0</v>
      </c>
      <c r="O11" s="107" t="str">
        <f>IF($E11='Auto Responses'!$L$13,'Auto Responses'!$J$5,IF($J11="",$K11,IF($J11='Auto Responses'!$J$13,5,IF($J11='Auto Responses'!$J$12,10,IF($J11='Auto Responses'!$J$11,20,0)))))</f>
        <v>N/A</v>
      </c>
      <c r="P11" s="107" t="str">
        <f>IF(OR($O11='Auto Responses'!$J$5,$L11='Auto Responses'!$J$5),'Auto Responses'!$J$5,$O11*$L11)</f>
        <v>N/A</v>
      </c>
      <c r="Q11" s="107">
        <f t="shared" si="1"/>
        <v>0</v>
      </c>
      <c r="R11" s="107">
        <f t="shared" si="5"/>
        <v>0</v>
      </c>
      <c r="S11" s="107">
        <f t="shared" si="2"/>
        <v>0</v>
      </c>
      <c r="T11" s="107">
        <f t="shared" si="3"/>
        <v>0</v>
      </c>
      <c r="U11" s="107">
        <f t="shared" si="6"/>
        <v>0</v>
      </c>
      <c r="V11" s="107">
        <f t="shared" si="4"/>
        <v>0</v>
      </c>
    </row>
    <row r="12" spans="1:22" ht="57" x14ac:dyDescent="0.2">
      <c r="A12" s="4" t="str">
        <f>Questions!$A12</f>
        <v>COMP-01</v>
      </c>
      <c r="B12" s="4" t="str">
        <f t="shared" si="0"/>
        <v>COMP</v>
      </c>
      <c r="C12" s="4" t="str">
        <f>VLOOKUP($A12,Questions!$A$3:$L$333,2,0)&amp;""</f>
        <v>Do you have a dedicated software and system development team(s) (e.g., customer support, implementation, product management, etc.)?*</v>
      </c>
      <c r="D12" s="4" t="str">
        <f>VLOOKUP($A12,Questions!$A$3:$L$333,11,0)&amp;""</f>
        <v/>
      </c>
      <c r="E12" s="4" t="str">
        <f>VLOOKUP($A12,Questions!$A$3:$L$333,12,0)&amp;""</f>
        <v>Start Here</v>
      </c>
      <c r="F12" s="4" t="str">
        <f>VLOOKUP($A12,'Institution Evaluation'!$A$56:$K$345,3,0)&amp;""</f>
        <v/>
      </c>
      <c r="G12" s="4" t="str">
        <f>VLOOKUP($A12,'Institution Evaluation'!$A$56:$K$345,7,0)&amp;""</f>
        <v>Yes</v>
      </c>
      <c r="H12" s="4" t="str">
        <f>VLOOKUP($A12,'Institution Evaluation'!$A$56:$K$345,8,0)&amp;""</f>
        <v/>
      </c>
      <c r="I12" s="4" t="str">
        <f>VLOOKUP($A12,'Institution Evaluation'!$A$56:$K$345,9,0)&amp;""</f>
        <v>Standard Importance</v>
      </c>
      <c r="J12" s="4" t="str">
        <f>VLOOKUP($A12,'Institution Evaluation'!$A$56:$K$345,10,0)&amp;""</f>
        <v/>
      </c>
      <c r="K12" s="4">
        <f>IF($I12='Auto Responses'!$J$11,20,IF($I12='Auto Responses'!$J$13,5,10))</f>
        <v>10</v>
      </c>
      <c r="L12" s="107">
        <f>IF($E12='Auto Responses'!$L$13, 'Auto Responses'!$J$5,IF(AND($D12='Auto Responses'!$J$27,$H12=""),'Auto Responses'!$J$5,IF(AND($D12='Auto Responses'!$J$27,$H12='Auto Responses'!$J$7),1,IF(AND($D12='Auto Responses'!$J$27,$H12='Auto Responses'!$J$8),0,IF(OR(AND($F12=$G12,$H12=""),$H12='Auto Responses'!$J$7),1,0)))))</f>
        <v>0</v>
      </c>
      <c r="M12" s="4" t="str">
        <f>VLOOKUP($A12,'Institution Evaluation'!$A$56:$K$345,11,0)&amp;""</f>
        <v>FALSE</v>
      </c>
      <c r="N12" s="4">
        <f>IF($J12='Auto Responses'!$J$11,1,IF(AND($J12="",$I12='Auto Responses'!$J$11),1,0))</f>
        <v>0</v>
      </c>
      <c r="O12" s="107">
        <f>IF(OR($E12='Auto Responses'!$L$13,$F12='Auto Responses'!$J$5),'Auto Responses'!$J$5,IF($J12="",$K12,IF($J12='Auto Responses'!$J$13,5,IF($J12='Auto Responses'!$J$12,10,IF($J12='Auto Responses'!$J$11,20,0)))))</f>
        <v>10</v>
      </c>
      <c r="P12" s="107">
        <f>IF(OR($O12='Auto Responses'!$J$5,$L12='Auto Responses'!$J$5),'Auto Responses'!$J$5,$O12*$L12)</f>
        <v>0</v>
      </c>
      <c r="Q12" s="107">
        <f t="shared" si="1"/>
        <v>0</v>
      </c>
      <c r="R12" s="107">
        <f t="shared" si="5"/>
        <v>0</v>
      </c>
      <c r="S12" s="107">
        <f t="shared" si="2"/>
        <v>0</v>
      </c>
      <c r="T12" s="107">
        <f t="shared" si="3"/>
        <v>0</v>
      </c>
      <c r="U12" s="107">
        <f t="shared" si="6"/>
        <v>0</v>
      </c>
      <c r="V12" s="107">
        <f t="shared" si="4"/>
        <v>0</v>
      </c>
    </row>
    <row r="13" spans="1:22" ht="57" x14ac:dyDescent="0.2">
      <c r="A13" s="4" t="str">
        <f>Questions!$A13</f>
        <v>COMP-02</v>
      </c>
      <c r="B13" s="4" t="str">
        <f t="shared" si="0"/>
        <v>COMP</v>
      </c>
      <c r="C13" s="4" t="str">
        <f>VLOOKUP($A13,Questions!$A$3:$L$333,2,0)&amp;""</f>
        <v>Describe your organization’s business background and ownership structure, including all parent and subsidiary relationships.</v>
      </c>
      <c r="D13" s="4" t="str">
        <f>VLOOKUP($A13,Questions!$A$3:$L$333,11,0)&amp;""</f>
        <v/>
      </c>
      <c r="E13" s="4" t="str">
        <f>VLOOKUP($A13,Questions!$A$3:$L$333,12,0)&amp;""</f>
        <v>Not scored</v>
      </c>
      <c r="F13" s="4" t="str">
        <f>VLOOKUP($A13,'Institution Evaluation'!$A$56:$K$345,3,0)&amp;""</f>
        <v/>
      </c>
      <c r="G13" s="4" t="str">
        <f>VLOOKUP($A13,'Institution Evaluation'!$A$56:$K$345,7,0)&amp;""</f>
        <v>Not scored</v>
      </c>
      <c r="H13" s="4" t="str">
        <f>VLOOKUP($A13,'Institution Evaluation'!$A$56:$K$345,8,0)&amp;""</f>
        <v/>
      </c>
      <c r="I13" s="4" t="str">
        <f>VLOOKUP($A13,'Institution Evaluation'!$A$56:$K$345,9,0)&amp;""</f>
        <v/>
      </c>
      <c r="J13" s="4" t="str">
        <f>VLOOKUP($A13,'Institution Evaluation'!$A$56:$K$345,10,0)&amp;""</f>
        <v/>
      </c>
      <c r="K13" s="4">
        <f>IF($I13='Auto Responses'!$J$11,20,IF($I13='Auto Responses'!$J$13,5,10))</f>
        <v>10</v>
      </c>
      <c r="L13" s="107" t="str">
        <f>IF($E13='Auto Responses'!$L$13, 'Auto Responses'!$J$5,IF(AND($D13='Auto Responses'!$J$27,$H13=""),'Auto Responses'!$J$5,IF(AND($D13='Auto Responses'!$J$27,$H13='Auto Responses'!$J$7),1,IF(AND($D13='Auto Responses'!$J$27,$H13='Auto Responses'!$J$8),0,IF(OR(AND($F13=$G13,$H13=""),$H13='Auto Responses'!$J$7),1,0)))))</f>
        <v>N/A</v>
      </c>
      <c r="M13" s="4" t="str">
        <f>VLOOKUP($A13,'Institution Evaluation'!$A$56:$K$345,11,0)&amp;""</f>
        <v>FALSE</v>
      </c>
      <c r="N13" s="4">
        <f>IF($J13='Auto Responses'!$J$11,1,IF(AND($J13="",$I13='Auto Responses'!$J$11),1,0))</f>
        <v>0</v>
      </c>
      <c r="O13" s="107" t="str">
        <f>IF(OR($E13='Auto Responses'!$L$13,$F13='Auto Responses'!$J$5),'Auto Responses'!$J$5,IF($J13="",$K13,IF($J13='Auto Responses'!$J$13,5,IF($J13='Auto Responses'!$J$12,10,IF($J13='Auto Responses'!$J$11,20,0)))))</f>
        <v>N/A</v>
      </c>
      <c r="P13" s="107" t="str">
        <f>IF(OR($O13='Auto Responses'!$J$5,$L13='Auto Responses'!$J$5),'Auto Responses'!$J$5,$O13*$L13)</f>
        <v>N/A</v>
      </c>
      <c r="Q13" s="107">
        <f t="shared" si="1"/>
        <v>0</v>
      </c>
      <c r="R13" s="107">
        <f t="shared" si="5"/>
        <v>0</v>
      </c>
      <c r="S13" s="107">
        <f t="shared" si="2"/>
        <v>0</v>
      </c>
      <c r="T13" s="107">
        <f t="shared" si="3"/>
        <v>0</v>
      </c>
      <c r="U13" s="107">
        <f t="shared" si="6"/>
        <v>0</v>
      </c>
      <c r="V13" s="107">
        <f t="shared" si="4"/>
        <v>0</v>
      </c>
    </row>
    <row r="14" spans="1:22" ht="57" x14ac:dyDescent="0.2">
      <c r="A14" s="4" t="str">
        <f>Questions!$A14</f>
        <v>COMP-03</v>
      </c>
      <c r="B14" s="4" t="str">
        <f t="shared" si="0"/>
        <v>COMP</v>
      </c>
      <c r="C14" s="4" t="str">
        <f>VLOOKUP($A14,Questions!$A$3:$L$333,2,0)&amp;""</f>
        <v>Have you operated without unplanned disruptions to this solution in the past 12 months?</v>
      </c>
      <c r="D14" s="4" t="str">
        <f>VLOOKUP($A14,Questions!$A$3:$L$333,11,0)&amp;""</f>
        <v/>
      </c>
      <c r="E14" s="4" t="str">
        <f>VLOOKUP($A14,Questions!$A$3:$L$333,12,0)&amp;""</f>
        <v>Start Here</v>
      </c>
      <c r="F14" s="4" t="str">
        <f>VLOOKUP($A14,'Institution Evaluation'!$A$56:$K$345,3,0)&amp;""</f>
        <v/>
      </c>
      <c r="G14" s="4" t="str">
        <f>VLOOKUP($A14,'Institution Evaluation'!$A$56:$K$345,7,0)&amp;""</f>
        <v>Yes</v>
      </c>
      <c r="H14" s="4" t="str">
        <f>VLOOKUP($A14,'Institution Evaluation'!$A$56:$K$345,8,0)&amp;""</f>
        <v/>
      </c>
      <c r="I14" s="4" t="str">
        <f>VLOOKUP($A14,'Institution Evaluation'!$A$56:$K$345,9,0)&amp;""</f>
        <v>Minor Importance</v>
      </c>
      <c r="J14" s="4" t="str">
        <f>VLOOKUP($A14,'Institution Evaluation'!$A$56:$K$345,10,0)&amp;""</f>
        <v/>
      </c>
      <c r="K14" s="4">
        <f>IF($I14='Auto Responses'!$J$11,20,IF($I14='Auto Responses'!$J$13,5,10))</f>
        <v>5</v>
      </c>
      <c r="L14" s="107">
        <f>IF($E14='Auto Responses'!$L$13, 'Auto Responses'!$J$5,IF(AND($D14='Auto Responses'!$J$27,$H14=""),'Auto Responses'!$J$5,IF(AND($D14='Auto Responses'!$J$27,$H14='Auto Responses'!$J$7),1,IF(AND($D14='Auto Responses'!$J$27,$H14='Auto Responses'!$J$8),0,IF(OR(AND($F14=$G14,$H14=""),$H14='Auto Responses'!$J$7),1,0)))))</f>
        <v>0</v>
      </c>
      <c r="M14" s="4" t="str">
        <f>VLOOKUP($A14,'Institution Evaluation'!$A$56:$K$345,11,0)&amp;""</f>
        <v>FALSE</v>
      </c>
      <c r="N14" s="4">
        <f>IF($J14='Auto Responses'!$J$11,1,IF(AND($J14="",$I14='Auto Responses'!$J$11),1,0))</f>
        <v>0</v>
      </c>
      <c r="O14" s="107">
        <f>IF(OR($E14='Auto Responses'!$L$13,$F14='Auto Responses'!$J$5),'Auto Responses'!$J$5,IF($J14="",$K14,IF($J14='Auto Responses'!$J$13,5,IF($J14='Auto Responses'!$J$12,10,IF($J14='Auto Responses'!$J$11,20,0)))))</f>
        <v>5</v>
      </c>
      <c r="P14" s="107">
        <f>IF(OR($O14='Auto Responses'!$J$5,$L14='Auto Responses'!$J$5),'Auto Responses'!$J$5,$O14*$L14)</f>
        <v>0</v>
      </c>
      <c r="Q14" s="107">
        <f t="shared" si="1"/>
        <v>0</v>
      </c>
      <c r="R14" s="107">
        <f t="shared" si="5"/>
        <v>0</v>
      </c>
      <c r="S14" s="107">
        <f t="shared" si="2"/>
        <v>0</v>
      </c>
      <c r="T14" s="107">
        <f t="shared" si="3"/>
        <v>0</v>
      </c>
      <c r="U14" s="107">
        <f t="shared" si="6"/>
        <v>0</v>
      </c>
      <c r="V14" s="107">
        <f t="shared" si="4"/>
        <v>0</v>
      </c>
    </row>
    <row r="15" spans="1:22" ht="57" x14ac:dyDescent="0.2">
      <c r="A15" s="4" t="str">
        <f>Questions!$A15</f>
        <v>COMP-04</v>
      </c>
      <c r="B15" s="4" t="str">
        <f t="shared" si="0"/>
        <v>COMP</v>
      </c>
      <c r="C15" s="4" t="str">
        <f>VLOOKUP($A15,Questions!$A$3:$L$333,2,0)&amp;""</f>
        <v>Do you have a dedicated information security staff or office?</v>
      </c>
      <c r="D15" s="4" t="str">
        <f>VLOOKUP($A15,Questions!$A$3:$L$333,11,0)&amp;""</f>
        <v/>
      </c>
      <c r="E15" s="4" t="str">
        <f>VLOOKUP($A15,Questions!$A$3:$L$333,12,0)&amp;""</f>
        <v>Start Here</v>
      </c>
      <c r="F15" s="4" t="str">
        <f>VLOOKUP($A15,'Institution Evaluation'!$A$56:$K$345,3,0)&amp;""</f>
        <v/>
      </c>
      <c r="G15" s="4" t="str">
        <f>VLOOKUP($A15,'Institution Evaluation'!$A$56:$K$345,7,0)&amp;""</f>
        <v>Yes</v>
      </c>
      <c r="H15" s="4" t="str">
        <f>VLOOKUP($A15,'Institution Evaluation'!$A$56:$K$345,8,0)&amp;""</f>
        <v/>
      </c>
      <c r="I15" s="4" t="str">
        <f>VLOOKUP($A15,'Institution Evaluation'!$A$56:$K$345,9,0)&amp;""</f>
        <v>Minor Importance</v>
      </c>
      <c r="J15" s="4" t="str">
        <f>VLOOKUP($A15,'Institution Evaluation'!$A$56:$K$345,10,0)&amp;""</f>
        <v/>
      </c>
      <c r="K15" s="4">
        <f>IF($I15='Auto Responses'!$J$11,20,IF($I15='Auto Responses'!$J$13,5,10))</f>
        <v>5</v>
      </c>
      <c r="L15" s="107">
        <f>IF($E15='Auto Responses'!$L$13, 'Auto Responses'!$J$5,IF(AND($D15='Auto Responses'!$J$27,$H15=""),'Auto Responses'!$J$5,IF(AND($D15='Auto Responses'!$J$27,$H15='Auto Responses'!$J$7),1,IF(AND($D15='Auto Responses'!$J$27,$H15='Auto Responses'!$J$8),0,IF(OR(AND($F15=$G15,$H15=""),$H15='Auto Responses'!$J$7),1,0)))))</f>
        <v>0</v>
      </c>
      <c r="M15" s="4" t="str">
        <f>VLOOKUP($A15,'Institution Evaluation'!$A$56:$K$345,11,0)&amp;""</f>
        <v>FALSE</v>
      </c>
      <c r="N15" s="4">
        <f>IF($J15='Auto Responses'!$J$11,1,IF(AND($J15="",$I15='Auto Responses'!$J$11),1,0))</f>
        <v>0</v>
      </c>
      <c r="O15" s="107">
        <f>IF(OR($E15='Auto Responses'!$L$13,$F15='Auto Responses'!$J$5),'Auto Responses'!$J$5,IF($J15="",$K15,IF($J15='Auto Responses'!$J$13,5,IF($J15='Auto Responses'!$J$12,10,IF($J15='Auto Responses'!$J$11,20,0)))))</f>
        <v>5</v>
      </c>
      <c r="P15" s="107">
        <f>IF(OR($O15='Auto Responses'!$J$5,$L15='Auto Responses'!$J$5),'Auto Responses'!$J$5,$O15*$L15)</f>
        <v>0</v>
      </c>
      <c r="Q15" s="107">
        <f t="shared" si="1"/>
        <v>0</v>
      </c>
      <c r="R15" s="107">
        <f t="shared" si="5"/>
        <v>0</v>
      </c>
      <c r="S15" s="107">
        <f t="shared" si="2"/>
        <v>0</v>
      </c>
      <c r="T15" s="107">
        <f t="shared" si="3"/>
        <v>0</v>
      </c>
      <c r="U15" s="107">
        <f t="shared" si="6"/>
        <v>0</v>
      </c>
      <c r="V15" s="107">
        <f t="shared" si="4"/>
        <v>0</v>
      </c>
    </row>
    <row r="16" spans="1:22" ht="57" x14ac:dyDescent="0.2">
      <c r="A16" s="4" t="str">
        <f>Questions!$A16</f>
        <v>COMP-05</v>
      </c>
      <c r="B16" s="4" t="str">
        <f t="shared" si="0"/>
        <v>COMP</v>
      </c>
      <c r="C16" s="4" t="str">
        <f>VLOOKUP($A16,Questions!$A$3:$L$333,2,0)&amp;""</f>
        <v>Use this area to share information about your environment that will assist those who are assessing your company's data security program.</v>
      </c>
      <c r="D16" s="4" t="str">
        <f>VLOOKUP($A16,Questions!$A$3:$L$333,11,0)&amp;""</f>
        <v/>
      </c>
      <c r="E16" s="4" t="str">
        <f>VLOOKUP($A16,Questions!$A$3:$L$333,12,0)&amp;""</f>
        <v>Not Scored</v>
      </c>
      <c r="F16" s="4" t="str">
        <f>VLOOKUP($A16,'Institution Evaluation'!$A$56:$K$345,3,0)&amp;""</f>
        <v/>
      </c>
      <c r="G16" s="4" t="str">
        <f>VLOOKUP($A16,'Institution Evaluation'!$A$56:$K$345,7,0)&amp;""</f>
        <v>Not scored</v>
      </c>
      <c r="H16" s="4" t="str">
        <f>VLOOKUP($A16,'Institution Evaluation'!$A$56:$K$345,8,0)&amp;""</f>
        <v/>
      </c>
      <c r="I16" s="4" t="str">
        <f>VLOOKUP($A16,'Institution Evaluation'!$A$56:$K$345,9,0)&amp;""</f>
        <v>FALSE</v>
      </c>
      <c r="J16" s="4" t="str">
        <f>VLOOKUP($A16,'Institution Evaluation'!$A$56:$K$345,10,0)&amp;""</f>
        <v/>
      </c>
      <c r="K16" s="4">
        <f>IF($I16='Auto Responses'!$J$11,20,IF($I16='Auto Responses'!$J$13,5,10))</f>
        <v>10</v>
      </c>
      <c r="L16" s="107" t="str">
        <f>IF($E16='Auto Responses'!$L$13, 'Auto Responses'!$J$5,IF(AND($D16='Auto Responses'!$J$27,$H16=""),'Auto Responses'!$J$5,IF(AND($D16='Auto Responses'!$J$27,$H16='Auto Responses'!$J$7),1,IF(AND($D16='Auto Responses'!$J$27,$H16='Auto Responses'!$J$8),0,IF(OR(AND($F16=$G16,$H16=""),$H16='Auto Responses'!$J$7),1,0)))))</f>
        <v>N/A</v>
      </c>
      <c r="M16" s="4" t="str">
        <f>VLOOKUP($A16,'Institution Evaluation'!$A$56:$K$345,11,0)&amp;""</f>
        <v>FALSE</v>
      </c>
      <c r="N16" s="4">
        <f>IF($J16='Auto Responses'!$J$11,1,IF(AND($J16="",$I16='Auto Responses'!$J$11),1,0))</f>
        <v>0</v>
      </c>
      <c r="O16" s="107" t="str">
        <f>IF(OR($E16='Auto Responses'!$L$13,$F16='Auto Responses'!$J$5),'Auto Responses'!$J$5,IF($J16="",$K16,IF($J16='Auto Responses'!$J$13,5,IF($J16='Auto Responses'!$J$12,10,IF($J16='Auto Responses'!$J$11,20,0)))))</f>
        <v>N/A</v>
      </c>
      <c r="P16" s="107" t="str">
        <f>IF(OR($O16='Auto Responses'!$J$5,$L16='Auto Responses'!$J$5),'Auto Responses'!$J$5,$O16*$L16)</f>
        <v>N/A</v>
      </c>
      <c r="Q16" s="107">
        <f t="shared" si="1"/>
        <v>0</v>
      </c>
      <c r="R16" s="107">
        <f t="shared" si="5"/>
        <v>0</v>
      </c>
      <c r="S16" s="107">
        <f t="shared" si="2"/>
        <v>0</v>
      </c>
      <c r="T16" s="107">
        <f t="shared" si="3"/>
        <v>0</v>
      </c>
      <c r="U16" s="107">
        <f t="shared" si="6"/>
        <v>0</v>
      </c>
      <c r="V16" s="107">
        <f t="shared" si="4"/>
        <v>0</v>
      </c>
    </row>
    <row r="17" spans="1:22" ht="57" x14ac:dyDescent="0.2">
      <c r="A17" s="4" t="str">
        <f>Questions!$A17</f>
        <v>REQU-01</v>
      </c>
      <c r="B17" s="4" t="str">
        <f t="shared" si="0"/>
        <v>REQU</v>
      </c>
      <c r="C17" s="4" t="str">
        <f>VLOOKUP($A17,Questions!$A$3:$L$333,2,0)&amp;""</f>
        <v>Are you offering a cloud-based product?</v>
      </c>
      <c r="D17" s="4" t="str">
        <f>VLOOKUP($A17,Questions!$A$3:$L$333,11,0)&amp;""</f>
        <v>NA</v>
      </c>
      <c r="E17" s="4" t="str">
        <f>VLOOKUP($A17,Questions!$A$3:$L$333,12,0)&amp;""</f>
        <v>Not Scored</v>
      </c>
      <c r="F17" s="4" t="str">
        <f>VLOOKUP($A17,'Institution Evaluation'!$A$56:$K$345,3,0)&amp;""</f>
        <v/>
      </c>
      <c r="G17" s="4" t="str">
        <f>VLOOKUP($A17,'Institution Evaluation'!$A$56:$K$345,7,0)&amp;""</f>
        <v>Not scored</v>
      </c>
      <c r="H17" s="4" t="str">
        <f>VLOOKUP($A17,'Institution Evaluation'!$A$56:$K$345,8,0)&amp;""</f>
        <v/>
      </c>
      <c r="I17" s="4" t="str">
        <f>VLOOKUP($A17,'Institution Evaluation'!$A$56:$K$345,9,0)&amp;""</f>
        <v/>
      </c>
      <c r="J17" s="4" t="str">
        <f>VLOOKUP($A17,'Institution Evaluation'!$A$56:$K$345,10,0)&amp;""</f>
        <v/>
      </c>
      <c r="K17" s="4">
        <f>IF($I17='Auto Responses'!$J$11,20,IF($I17='Auto Responses'!$J$13,5,10))</f>
        <v>10</v>
      </c>
      <c r="L17" s="107" t="str">
        <f>IF($E17='Auto Responses'!$L$13, 'Auto Responses'!$J$5,IF(AND($D17='Auto Responses'!$J$27,$H17=""),'Auto Responses'!$J$5,IF(AND($D17='Auto Responses'!$J$27,$H17='Auto Responses'!$J$7),1,IF(AND($D17='Auto Responses'!$J$27,$H17='Auto Responses'!$J$8),0,IF(OR(AND($F17=$G17,$H17=""),$H17='Auto Responses'!$J$7),1,0)))))</f>
        <v>N/A</v>
      </c>
      <c r="M17" s="4" t="str">
        <f>VLOOKUP($A17,'Institution Evaluation'!$A$56:$K$345,11,0)&amp;""</f>
        <v>FALSE</v>
      </c>
      <c r="N17" s="4">
        <f>IF($J17='Auto Responses'!$J$11,1,IF(AND($J17="",$I17='Auto Responses'!$J$11),1,0))</f>
        <v>0</v>
      </c>
      <c r="O17" s="107" t="str">
        <f>IF($E17='Auto Responses'!$L$13,'Auto Responses'!$J$5,IF($J17="",$K17,IF($J17='Auto Responses'!$J$13,5,IF($J17='Auto Responses'!$J$12,10,IF($J17='Auto Responses'!$J$11,20,0)))))</f>
        <v>N/A</v>
      </c>
      <c r="P17" s="107" t="str">
        <f>IF(OR($O17='Auto Responses'!$J$5,$L17='Auto Responses'!$J$5),'Auto Responses'!$J$5,$O17*$L17)</f>
        <v>N/A</v>
      </c>
      <c r="Q17" s="107">
        <f t="shared" si="1"/>
        <v>0</v>
      </c>
      <c r="R17" s="107">
        <f t="shared" si="5"/>
        <v>0</v>
      </c>
      <c r="S17" s="107">
        <f t="shared" si="2"/>
        <v>0</v>
      </c>
      <c r="T17" s="107">
        <f t="shared" si="3"/>
        <v>0</v>
      </c>
      <c r="U17" s="107">
        <f t="shared" si="6"/>
        <v>0</v>
      </c>
      <c r="V17" s="107">
        <f t="shared" si="4"/>
        <v>0</v>
      </c>
    </row>
    <row r="18" spans="1:22" ht="57" x14ac:dyDescent="0.2">
      <c r="A18" s="4" t="str">
        <f>Questions!$A18</f>
        <v>REQU-02</v>
      </c>
      <c r="B18" s="4" t="str">
        <f t="shared" si="0"/>
        <v>REQU</v>
      </c>
      <c r="C18" s="4" t="str">
        <f>VLOOKUP($A18,Questions!$A$3:$L$333,2,0)&amp;""</f>
        <v>Does your product or service have an interface?</v>
      </c>
      <c r="D18" s="4" t="str">
        <f>VLOOKUP($A18,Questions!$A$3:$L$333,11,0)&amp;""</f>
        <v>NA</v>
      </c>
      <c r="E18" s="4" t="str">
        <f>VLOOKUP($A18,Questions!$A$3:$L$333,12,0)&amp;""</f>
        <v>Not Scored</v>
      </c>
      <c r="F18" s="4" t="str">
        <f>VLOOKUP($A18,'Institution Evaluation'!$A$56:$K$345,3,0)&amp;""</f>
        <v/>
      </c>
      <c r="G18" s="4" t="str">
        <f>VLOOKUP($A18,'Institution Evaluation'!$A$56:$K$345,7,0)&amp;""</f>
        <v>Not scored</v>
      </c>
      <c r="H18" s="4" t="str">
        <f>VLOOKUP($A18,'Institution Evaluation'!$A$56:$K$345,8,0)&amp;""</f>
        <v/>
      </c>
      <c r="I18" s="4" t="str">
        <f>VLOOKUP($A18,'Institution Evaluation'!$A$56:$K$345,9,0)&amp;""</f>
        <v/>
      </c>
      <c r="J18" s="4" t="str">
        <f>VLOOKUP($A18,'Institution Evaluation'!$A$56:$K$345,10,0)&amp;""</f>
        <v/>
      </c>
      <c r="K18" s="4">
        <f>IF($I18='Auto Responses'!$J$11,20,IF($I18='Auto Responses'!$J$13,5,10))</f>
        <v>10</v>
      </c>
      <c r="L18" s="107" t="str">
        <f>IF($E18='Auto Responses'!$L$13, 'Auto Responses'!$J$5,IF(AND($D18='Auto Responses'!$J$27,$H18=""),'Auto Responses'!$J$5,IF(AND($D18='Auto Responses'!$J$27,$H18='Auto Responses'!$J$7),1,IF(AND($D18='Auto Responses'!$J$27,$H18='Auto Responses'!$J$8),0,IF(OR(AND($F18=$G18,$H18=""),$H18='Auto Responses'!$J$7),1,0)))))</f>
        <v>N/A</v>
      </c>
      <c r="M18" s="4" t="str">
        <f>VLOOKUP($A18,'Institution Evaluation'!$A$56:$K$345,11,0)&amp;""</f>
        <v>FALSE</v>
      </c>
      <c r="N18" s="4">
        <f>IF($J18='Auto Responses'!$J$11,1,IF(AND($J18="",$I18='Auto Responses'!$J$11),1,0))</f>
        <v>0</v>
      </c>
      <c r="O18" s="107" t="str">
        <f>IF($E18='Auto Responses'!$L$13,'Auto Responses'!$J$5,IF($J18="",$K18,IF($J18='Auto Responses'!$J$13,5,IF($J18='Auto Responses'!$J$12,10,IF($J18='Auto Responses'!$J$11,20,0)))))</f>
        <v>N/A</v>
      </c>
      <c r="P18" s="107" t="str">
        <f>IF(OR($O18='Auto Responses'!$J$5,$L18='Auto Responses'!$J$5),'Auto Responses'!$J$5,$O18*$L18)</f>
        <v>N/A</v>
      </c>
      <c r="Q18" s="107">
        <f t="shared" si="1"/>
        <v>0</v>
      </c>
      <c r="R18" s="107">
        <f t="shared" si="5"/>
        <v>0</v>
      </c>
      <c r="S18" s="107">
        <f t="shared" si="2"/>
        <v>0</v>
      </c>
      <c r="T18" s="107">
        <f t="shared" si="3"/>
        <v>0</v>
      </c>
      <c r="U18" s="107">
        <f t="shared" si="6"/>
        <v>0</v>
      </c>
      <c r="V18" s="107">
        <f t="shared" si="4"/>
        <v>0</v>
      </c>
    </row>
    <row r="19" spans="1:22" ht="57" x14ac:dyDescent="0.2">
      <c r="A19" s="4" t="str">
        <f>Questions!$A19</f>
        <v>REQU-03</v>
      </c>
      <c r="B19" s="4" t="str">
        <f t="shared" si="0"/>
        <v>REQU</v>
      </c>
      <c r="C19" s="4" t="str">
        <f>VLOOKUP($A19,Questions!$A$3:$L$333,2,0)&amp;""</f>
        <v>Are you providing consulting services?</v>
      </c>
      <c r="D19" s="4" t="str">
        <f>VLOOKUP($A19,Questions!$A$3:$L$333,11,0)&amp;""</f>
        <v>NA</v>
      </c>
      <c r="E19" s="4" t="str">
        <f>VLOOKUP($A19,Questions!$A$3:$L$333,12,0)&amp;""</f>
        <v>Not Scored</v>
      </c>
      <c r="F19" s="4" t="str">
        <f>VLOOKUP($A19,'Institution Evaluation'!$A$56:$K$345,3,0)&amp;""</f>
        <v/>
      </c>
      <c r="G19" s="4" t="str">
        <f>VLOOKUP($A19,'Institution Evaluation'!$A$56:$K$345,7,0)&amp;""</f>
        <v>Not scored</v>
      </c>
      <c r="H19" s="4" t="str">
        <f>VLOOKUP($A19,'Institution Evaluation'!$A$56:$K$345,8,0)&amp;""</f>
        <v/>
      </c>
      <c r="I19" s="4" t="str">
        <f>VLOOKUP($A19,'Institution Evaluation'!$A$56:$K$345,9,0)&amp;""</f>
        <v/>
      </c>
      <c r="J19" s="4" t="str">
        <f>VLOOKUP($A19,'Institution Evaluation'!$A$56:$K$345,10,0)&amp;""</f>
        <v/>
      </c>
      <c r="K19" s="4">
        <f>IF($I19='Auto Responses'!$J$11,20,IF($I19='Auto Responses'!$J$13,5,10))</f>
        <v>10</v>
      </c>
      <c r="L19" s="107" t="str">
        <f>IF($E19='Auto Responses'!$L$13, 'Auto Responses'!$J$5,IF(AND($D19='Auto Responses'!$J$27,$H19=""),'Auto Responses'!$J$5,IF(AND($D19='Auto Responses'!$J$27,$H19='Auto Responses'!$J$7),1,IF(AND($D19='Auto Responses'!$J$27,$H19='Auto Responses'!$J$8),0,IF(OR(AND($F19=$G19,$H19=""),$H19='Auto Responses'!$J$7),1,0)))))</f>
        <v>N/A</v>
      </c>
      <c r="M19" s="4" t="str">
        <f>VLOOKUP($A19,'Institution Evaluation'!$A$56:$K$345,11,0)&amp;""</f>
        <v>FALSE</v>
      </c>
      <c r="N19" s="4">
        <f>IF($J19='Auto Responses'!$J$11,1,IF(AND($J19="",$I19='Auto Responses'!$J$11),1,0))</f>
        <v>0</v>
      </c>
      <c r="O19" s="107" t="str">
        <f>IF($E19='Auto Responses'!$L$13,'Auto Responses'!$J$5,IF($J19="",$K19,IF($J19='Auto Responses'!$J$13,5,IF($J19='Auto Responses'!$J$12,10,IF($J19='Auto Responses'!$J$11,20,0)))))</f>
        <v>N/A</v>
      </c>
      <c r="P19" s="107" t="str">
        <f>IF(OR($O19='Auto Responses'!$J$5,$L19='Auto Responses'!$J$5),'Auto Responses'!$J$5,$O19*$L19)</f>
        <v>N/A</v>
      </c>
      <c r="Q19" s="107">
        <f t="shared" si="1"/>
        <v>0</v>
      </c>
      <c r="R19" s="107">
        <f t="shared" si="5"/>
        <v>0</v>
      </c>
      <c r="S19" s="107">
        <f t="shared" si="2"/>
        <v>0</v>
      </c>
      <c r="T19" s="107">
        <f t="shared" si="3"/>
        <v>0</v>
      </c>
      <c r="U19" s="107">
        <f t="shared" si="6"/>
        <v>0</v>
      </c>
      <c r="V19" s="107">
        <f t="shared" si="4"/>
        <v>0</v>
      </c>
    </row>
    <row r="20" spans="1:22" ht="57" x14ac:dyDescent="0.2">
      <c r="A20" s="4" t="str">
        <f>Questions!$A20</f>
        <v>REQU-04</v>
      </c>
      <c r="B20" s="4" t="str">
        <f t="shared" si="0"/>
        <v>REQU</v>
      </c>
      <c r="C20" s="4" t="str">
        <f>VLOOKUP($A20,Questions!$A$3:$L$333,2,0)&amp;""</f>
        <v>Does your solution have AI features, or are there plans to implement AI features in the next 12 months?</v>
      </c>
      <c r="D20" s="4" t="str">
        <f>VLOOKUP($A20,Questions!$A$3:$L$333,11,0)&amp;""</f>
        <v>NA</v>
      </c>
      <c r="E20" s="4" t="str">
        <f>VLOOKUP($A20,Questions!$A$3:$L$333,12,0)&amp;""</f>
        <v>Not Scored</v>
      </c>
      <c r="F20" s="4" t="str">
        <f>VLOOKUP($A20,'Institution Evaluation'!$A$56:$K$345,3,0)&amp;""</f>
        <v/>
      </c>
      <c r="G20" s="4" t="str">
        <f>VLOOKUP($A20,'Institution Evaluation'!$A$56:$K$345,7,0)&amp;""</f>
        <v>Not scored</v>
      </c>
      <c r="H20" s="4" t="str">
        <f>VLOOKUP($A20,'Institution Evaluation'!$A$56:$K$345,8,0)&amp;""</f>
        <v/>
      </c>
      <c r="I20" s="4" t="str">
        <f>VLOOKUP($A20,'Institution Evaluation'!$A$56:$K$345,9,0)&amp;""</f>
        <v/>
      </c>
      <c r="J20" s="4" t="str">
        <f>VLOOKUP($A20,'Institution Evaluation'!$A$56:$K$345,10,0)&amp;""</f>
        <v/>
      </c>
      <c r="K20" s="4">
        <f>IF($I20='Auto Responses'!$J$11,20,IF($I20='Auto Responses'!$J$13,5,10))</f>
        <v>10</v>
      </c>
      <c r="L20" s="107" t="str">
        <f>IF($E20='Auto Responses'!$L$13, 'Auto Responses'!$J$5,IF(AND($D20='Auto Responses'!$J$27,$H20=""),'Auto Responses'!$J$5,IF(AND($D20='Auto Responses'!$J$27,$H20='Auto Responses'!$J$7),1,IF(AND($D20='Auto Responses'!$J$27,$H20='Auto Responses'!$J$8),0,IF(OR(AND($F20=$G20,$H20=""),$H20='Auto Responses'!$J$7),1,0)))))</f>
        <v>N/A</v>
      </c>
      <c r="M20" s="4" t="str">
        <f>VLOOKUP($A20,'Institution Evaluation'!$A$56:$K$345,11,0)&amp;""</f>
        <v>FALSE</v>
      </c>
      <c r="N20" s="4">
        <f>IF($J20='Auto Responses'!$J$11,1,IF(AND($J20="",$I20='Auto Responses'!$J$11),1,0))</f>
        <v>0</v>
      </c>
      <c r="O20" s="107" t="str">
        <f>IF($E20='Auto Responses'!$L$13,'Auto Responses'!$J$5,IF($J20="",$K20,IF($J20='Auto Responses'!$J$13,5,IF($J20='Auto Responses'!$J$12,10,IF($J20='Auto Responses'!$J$11,20,0)))))</f>
        <v>N/A</v>
      </c>
      <c r="P20" s="107" t="str">
        <f>IF(OR($O20='Auto Responses'!$J$5,$L20='Auto Responses'!$J$5),'Auto Responses'!$J$5,$O20*$L20)</f>
        <v>N/A</v>
      </c>
      <c r="Q20" s="107">
        <f t="shared" si="1"/>
        <v>0</v>
      </c>
      <c r="R20" s="107">
        <f t="shared" si="5"/>
        <v>0</v>
      </c>
      <c r="S20" s="107">
        <f t="shared" si="2"/>
        <v>0</v>
      </c>
      <c r="T20" s="107">
        <f t="shared" si="3"/>
        <v>0</v>
      </c>
      <c r="U20" s="107">
        <f t="shared" si="6"/>
        <v>0</v>
      </c>
      <c r="V20" s="107">
        <f t="shared" si="4"/>
        <v>0</v>
      </c>
    </row>
    <row r="21" spans="1:22" ht="57" x14ac:dyDescent="0.2">
      <c r="A21" s="4" t="str">
        <f>Questions!$A21</f>
        <v>REQU-05</v>
      </c>
      <c r="B21" s="4" t="str">
        <f t="shared" si="0"/>
        <v>REQU</v>
      </c>
      <c r="C21" s="4" t="str">
        <f>VLOOKUP($A21,Questions!$A$3:$L$333,2,0)&amp;""</f>
        <v>Does your solution process protected health information (PHI) or any data covered by the Health Insurance Portability and Accountability Act (HIPAA)?</v>
      </c>
      <c r="D21" s="4" t="str">
        <f>VLOOKUP($A21,Questions!$A$3:$L$333,11,0)&amp;""</f>
        <v>NA</v>
      </c>
      <c r="E21" s="4" t="str">
        <f>VLOOKUP($A21,Questions!$A$3:$L$333,12,0)&amp;""</f>
        <v>Not Scored</v>
      </c>
      <c r="F21" s="4" t="str">
        <f>VLOOKUP($A21,'Institution Evaluation'!$A$56:$K$345,3,0)&amp;""</f>
        <v/>
      </c>
      <c r="G21" s="4" t="str">
        <f>VLOOKUP($A21,'Institution Evaluation'!$A$56:$K$345,7,0)&amp;""</f>
        <v>Not scored</v>
      </c>
      <c r="H21" s="4" t="str">
        <f>VLOOKUP($A21,'Institution Evaluation'!$A$56:$K$345,8,0)&amp;""</f>
        <v/>
      </c>
      <c r="I21" s="4" t="str">
        <f>VLOOKUP($A21,'Institution Evaluation'!$A$56:$K$345,9,0)&amp;""</f>
        <v/>
      </c>
      <c r="J21" s="4" t="str">
        <f>VLOOKUP($A21,'Institution Evaluation'!$A$56:$K$345,10,0)&amp;""</f>
        <v/>
      </c>
      <c r="K21" s="4">
        <f>IF($I21='Auto Responses'!$J$11,20,IF($I21='Auto Responses'!$J$13,5,10))</f>
        <v>10</v>
      </c>
      <c r="L21" s="107" t="str">
        <f>IF($E21='Auto Responses'!$L$13, 'Auto Responses'!$J$5,IF(AND($D21='Auto Responses'!$J$27,$H21=""),'Auto Responses'!$J$5,IF(AND($D21='Auto Responses'!$J$27,$H21='Auto Responses'!$J$7),1,IF(AND($D21='Auto Responses'!$J$27,$H21='Auto Responses'!$J$8),0,IF(OR(AND($F21=$G21,$H21=""),$H21='Auto Responses'!$J$7),1,0)))))</f>
        <v>N/A</v>
      </c>
      <c r="M21" s="4" t="str">
        <f>VLOOKUP($A21,'Institution Evaluation'!$A$56:$K$345,11,0)&amp;""</f>
        <v>FALSE</v>
      </c>
      <c r="N21" s="4">
        <f>IF($J21='Auto Responses'!$J$11,1,IF(AND($J21="",$I21='Auto Responses'!$J$11),1,0))</f>
        <v>0</v>
      </c>
      <c r="O21" s="107" t="str">
        <f>IF($E21='Auto Responses'!$L$13,'Auto Responses'!$J$5,IF($J21="",$K21,IF($J21='Auto Responses'!$J$13,5,IF($J21='Auto Responses'!$J$12,10,IF($J21='Auto Responses'!$J$11,20,0)))))</f>
        <v>N/A</v>
      </c>
      <c r="P21" s="107" t="str">
        <f>IF(OR($O21='Auto Responses'!$J$5,$L21='Auto Responses'!$J$5),'Auto Responses'!$J$5,$O21*$L21)</f>
        <v>N/A</v>
      </c>
      <c r="Q21" s="107">
        <f t="shared" si="1"/>
        <v>0</v>
      </c>
      <c r="R21" s="107">
        <f t="shared" si="5"/>
        <v>0</v>
      </c>
      <c r="S21" s="107">
        <f t="shared" si="2"/>
        <v>0</v>
      </c>
      <c r="T21" s="107">
        <f t="shared" si="3"/>
        <v>0</v>
      </c>
      <c r="U21" s="107">
        <f t="shared" si="6"/>
        <v>0</v>
      </c>
      <c r="V21" s="107">
        <f t="shared" si="4"/>
        <v>0</v>
      </c>
    </row>
    <row r="22" spans="1:22" ht="57" x14ac:dyDescent="0.2">
      <c r="A22" s="4" t="str">
        <f>Questions!$A22</f>
        <v>REQU-06</v>
      </c>
      <c r="B22" s="4" t="str">
        <f t="shared" si="0"/>
        <v>REQU</v>
      </c>
      <c r="C22" s="4" t="str">
        <f>VLOOKUP($A22,Questions!$A$3:$L$333,2,0)&amp;""</f>
        <v>Is the solution designed to process, store, or transmit credit card information?</v>
      </c>
      <c r="D22" s="4" t="str">
        <f>VLOOKUP($A22,Questions!$A$3:$L$333,11,0)&amp;""</f>
        <v>NA</v>
      </c>
      <c r="E22" s="4" t="str">
        <f>VLOOKUP($A22,Questions!$A$3:$L$333,12,0)&amp;""</f>
        <v>Not Scored</v>
      </c>
      <c r="F22" s="4" t="str">
        <f>VLOOKUP($A22,'Institution Evaluation'!$A$56:$K$345,3,0)&amp;""</f>
        <v/>
      </c>
      <c r="G22" s="4" t="str">
        <f>VLOOKUP($A22,'Institution Evaluation'!$A$56:$K$345,7,0)&amp;""</f>
        <v>Not scored</v>
      </c>
      <c r="H22" s="4" t="str">
        <f>VLOOKUP($A22,'Institution Evaluation'!$A$56:$K$345,8,0)&amp;""</f>
        <v/>
      </c>
      <c r="I22" s="4" t="str">
        <f>VLOOKUP($A22,'Institution Evaluation'!$A$56:$K$345,9,0)&amp;""</f>
        <v/>
      </c>
      <c r="J22" s="4" t="str">
        <f>VLOOKUP($A22,'Institution Evaluation'!$A$56:$K$345,10,0)&amp;""</f>
        <v/>
      </c>
      <c r="K22" s="4">
        <f>IF($I22='Auto Responses'!$J$11,20,IF($I22='Auto Responses'!$J$13,5,10))</f>
        <v>10</v>
      </c>
      <c r="L22" s="107" t="str">
        <f>IF($E22='Auto Responses'!$L$13, 'Auto Responses'!$J$5,IF(AND($D22='Auto Responses'!$J$27,$H22=""),'Auto Responses'!$J$5,IF(AND($D22='Auto Responses'!$J$27,$H22='Auto Responses'!$J$7),1,IF(AND($D22='Auto Responses'!$J$27,$H22='Auto Responses'!$J$8),0,IF(OR(AND($F22=$G22,$H22=""),$H22='Auto Responses'!$J$7),1,0)))))</f>
        <v>N/A</v>
      </c>
      <c r="M22" s="4" t="str">
        <f>VLOOKUP($A22,'Institution Evaluation'!$A$56:$K$345,11,0)&amp;""</f>
        <v>FALSE</v>
      </c>
      <c r="N22" s="4">
        <f>IF($J22='Auto Responses'!$J$11,1,IF(AND($J22="",$I22='Auto Responses'!$J$11),1,0))</f>
        <v>0</v>
      </c>
      <c r="O22" s="107" t="str">
        <f>IF($E22='Auto Responses'!$L$13,'Auto Responses'!$J$5,IF($J22="",$K22,IF($J22='Auto Responses'!$J$13,5,IF($J22='Auto Responses'!$J$12,10,IF($J22='Auto Responses'!$J$11,20,0)))))</f>
        <v>N/A</v>
      </c>
      <c r="P22" s="107" t="str">
        <f>IF(OR($O22='Auto Responses'!$J$5,$L22='Auto Responses'!$J$5),'Auto Responses'!$J$5,$O22*$L22)</f>
        <v>N/A</v>
      </c>
      <c r="Q22" s="107">
        <f t="shared" si="1"/>
        <v>0</v>
      </c>
      <c r="R22" s="107">
        <f t="shared" si="5"/>
        <v>0</v>
      </c>
      <c r="S22" s="107">
        <f t="shared" si="2"/>
        <v>0</v>
      </c>
      <c r="T22" s="107">
        <f t="shared" si="3"/>
        <v>0</v>
      </c>
      <c r="U22" s="107">
        <f t="shared" si="6"/>
        <v>0</v>
      </c>
      <c r="V22" s="107">
        <f t="shared" si="4"/>
        <v>0</v>
      </c>
    </row>
    <row r="23" spans="1:22" ht="71.25" x14ac:dyDescent="0.2">
      <c r="A23" s="4" t="str">
        <f>Questions!$A23</f>
        <v>REQU-07</v>
      </c>
      <c r="B23" s="4" t="str">
        <f t="shared" si="0"/>
        <v>REQU</v>
      </c>
      <c r="C23" s="4"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4" t="str">
        <f>VLOOKUP($A23,Questions!$A$3:$L$333,11,0)&amp;""</f>
        <v>NA</v>
      </c>
      <c r="E23" s="4" t="str">
        <f>VLOOKUP($A23,Questions!$A$3:$L$333,12,0)&amp;""</f>
        <v>Not Scored</v>
      </c>
      <c r="F23" s="4" t="str">
        <f>VLOOKUP($A23,'Institution Evaluation'!$A$56:$K$345,3,0)&amp;""</f>
        <v/>
      </c>
      <c r="G23" s="4" t="str">
        <f>VLOOKUP($A23,'Institution Evaluation'!$A$56:$K$345,7,0)&amp;""</f>
        <v>Not scored</v>
      </c>
      <c r="H23" s="4" t="str">
        <f>VLOOKUP($A23,'Institution Evaluation'!$A$56:$K$345,8,0)&amp;""</f>
        <v/>
      </c>
      <c r="I23" s="4" t="str">
        <f>VLOOKUP($A23,'Institution Evaluation'!$A$56:$K$345,9,0)&amp;""</f>
        <v/>
      </c>
      <c r="J23" s="4" t="str">
        <f>VLOOKUP($A23,'Institution Evaluation'!$A$56:$K$345,10,0)&amp;""</f>
        <v/>
      </c>
      <c r="K23" s="4">
        <f>IF($I23='Auto Responses'!$J$11,20,IF($I23='Auto Responses'!$J$13,5,10))</f>
        <v>10</v>
      </c>
      <c r="L23" s="107" t="str">
        <f>IF($E23='Auto Responses'!$L$13, 'Auto Responses'!$J$5,IF(AND($D23='Auto Responses'!$J$27,$H23=""),'Auto Responses'!$J$5,IF(AND($D23='Auto Responses'!$J$27,$H23='Auto Responses'!$J$7),1,IF(AND($D23='Auto Responses'!$J$27,$H23='Auto Responses'!$J$8),0,IF(OR(AND($F23=$G23,$H23=""),$H23='Auto Responses'!$J$7),1,0)))))</f>
        <v>N/A</v>
      </c>
      <c r="M23" s="4" t="str">
        <f>VLOOKUP($A23,'Institution Evaluation'!$A$56:$K$345,11,0)&amp;""</f>
        <v>FALSE</v>
      </c>
      <c r="N23" s="4">
        <f>IF($J23='Auto Responses'!$J$11,1,IF(AND($J23="",$I23='Auto Responses'!$J$11),1,0))</f>
        <v>0</v>
      </c>
      <c r="O23" s="107" t="str">
        <f>IF($E23='Auto Responses'!$L$13,'Auto Responses'!$J$5,IF($J23="",$K23,IF($J23='Auto Responses'!$J$13,5,IF($J23='Auto Responses'!$J$12,10,IF($J23='Auto Responses'!$J$11,20,0)))))</f>
        <v>N/A</v>
      </c>
      <c r="P23" s="107" t="str">
        <f>IF(OR($O23='Auto Responses'!$J$5,$L23='Auto Responses'!$J$5),'Auto Responses'!$J$5,$O23*$L23)</f>
        <v>N/A</v>
      </c>
      <c r="Q23" s="107">
        <f t="shared" si="1"/>
        <v>0</v>
      </c>
      <c r="R23" s="107">
        <f t="shared" si="5"/>
        <v>0</v>
      </c>
      <c r="S23" s="107">
        <f t="shared" si="2"/>
        <v>0</v>
      </c>
      <c r="T23" s="107">
        <f t="shared" si="3"/>
        <v>0</v>
      </c>
      <c r="U23" s="107">
        <f t="shared" si="6"/>
        <v>0</v>
      </c>
      <c r="V23" s="107">
        <f t="shared" si="4"/>
        <v>0</v>
      </c>
    </row>
    <row r="24" spans="1:22" ht="57" x14ac:dyDescent="0.2">
      <c r="A24" s="4" t="str">
        <f>Questions!$A24</f>
        <v>REQU-08</v>
      </c>
      <c r="B24" s="4" t="str">
        <f t="shared" si="0"/>
        <v>REQU</v>
      </c>
      <c r="C24" s="4" t="str">
        <f>VLOOKUP($A24,Questions!$A$3:$L$333,2,0)&amp;""</f>
        <v>Does your solution have access to personal or institutional data?</v>
      </c>
      <c r="D24" s="4" t="str">
        <f>VLOOKUP($A24,Questions!$A$3:$L$333,11,0)&amp;""</f>
        <v>NA</v>
      </c>
      <c r="E24" s="4" t="str">
        <f>VLOOKUP($A24,Questions!$A$3:$L$333,12,0)&amp;""</f>
        <v>Not Scored</v>
      </c>
      <c r="F24" s="4" t="str">
        <f>VLOOKUP($A24,'Institution Evaluation'!$A$56:$K$345,3,0)&amp;""</f>
        <v/>
      </c>
      <c r="G24" s="4" t="str">
        <f>VLOOKUP($A24,'Institution Evaluation'!$A$56:$K$345,7,0)&amp;""</f>
        <v>Not scored</v>
      </c>
      <c r="H24" s="4" t="str">
        <f>VLOOKUP($A24,'Institution Evaluation'!$A$56:$K$345,8,0)&amp;""</f>
        <v/>
      </c>
      <c r="I24" s="4" t="str">
        <f>VLOOKUP($A24,'Institution Evaluation'!$A$56:$K$345,9,0)&amp;""</f>
        <v/>
      </c>
      <c r="J24" s="4" t="str">
        <f>VLOOKUP($A24,'Institution Evaluation'!$A$56:$K$345,10,0)&amp;""</f>
        <v/>
      </c>
      <c r="K24" s="4">
        <f>IF($I24='Auto Responses'!$J$11,20,IF($I24='Auto Responses'!$J$13,5,10))</f>
        <v>10</v>
      </c>
      <c r="L24" s="107" t="str">
        <f>IF($E24='Auto Responses'!$L$13, 'Auto Responses'!$J$5,IF(AND($D24='Auto Responses'!$J$27,$H24=""),'Auto Responses'!$J$5,IF(AND($D24='Auto Responses'!$J$27,$H24='Auto Responses'!$J$7),1,IF(AND($D24='Auto Responses'!$J$27,$H24='Auto Responses'!$J$8),0,IF(OR(AND($F24=$G24,$H24=""),$H24='Auto Responses'!$J$7),1,0)))))</f>
        <v>N/A</v>
      </c>
      <c r="M24" s="4" t="str">
        <f>VLOOKUP($A24,'Institution Evaluation'!$A$56:$K$345,11,0)&amp;""</f>
        <v>FALSE</v>
      </c>
      <c r="N24" s="4">
        <f>IF($J24='Auto Responses'!$J$11,1,IF(AND($J24="",$I24='Auto Responses'!$J$11),1,0))</f>
        <v>0</v>
      </c>
      <c r="O24" s="107" t="str">
        <f>IF($E24='Auto Responses'!$L$13,'Auto Responses'!$J$5,IF($J24="",$K24,IF($J24='Auto Responses'!$J$13,5,IF($J24='Auto Responses'!$J$12,10,IF($J24='Auto Responses'!$J$11,20,0)))))</f>
        <v>N/A</v>
      </c>
      <c r="P24" s="107" t="str">
        <f>IF(OR($O24='Auto Responses'!$J$5,$L24='Auto Responses'!$J$5),'Auto Responses'!$J$5,$O24*$L24)</f>
        <v>N/A</v>
      </c>
      <c r="Q24" s="107">
        <f t="shared" si="1"/>
        <v>0</v>
      </c>
      <c r="R24" s="107">
        <f t="shared" si="5"/>
        <v>0</v>
      </c>
      <c r="S24" s="107">
        <f t="shared" si="2"/>
        <v>0</v>
      </c>
      <c r="T24" s="107">
        <f t="shared" si="3"/>
        <v>0</v>
      </c>
      <c r="U24" s="107">
        <f t="shared" si="6"/>
        <v>0</v>
      </c>
      <c r="V24" s="107">
        <f t="shared" si="4"/>
        <v>0</v>
      </c>
    </row>
    <row r="25" spans="1:22" ht="57" x14ac:dyDescent="0.2">
      <c r="A25" s="4" t="str">
        <f>Questions!$A25</f>
        <v>DOCU-01</v>
      </c>
      <c r="B25" s="4" t="str">
        <f t="shared" si="0"/>
        <v>DOCU</v>
      </c>
      <c r="C25" s="4" t="str">
        <f>VLOOKUP($A25,Questions!$A$3:$L$333,2,0)&amp;""</f>
        <v>Do you have a well-documented business continuity plan (BCP), with a clear owner, that is tested annually?*</v>
      </c>
      <c r="D25" s="4" t="str">
        <f>VLOOKUP($A25,Questions!$A$3:$L$333,11,0)&amp;""</f>
        <v/>
      </c>
      <c r="E25" s="4" t="str">
        <f>VLOOKUP($A25,Questions!$A$3:$L$333,12,0)&amp;""</f>
        <v>Organization</v>
      </c>
      <c r="F25" s="4" t="str">
        <f>VLOOKUP($A25,'Institution Evaluation'!$A$56:$K$345,3,0)&amp;""</f>
        <v/>
      </c>
      <c r="G25" s="4" t="str">
        <f>VLOOKUP($A25,'Institution Evaluation'!$A$56:$K$345,7,0)&amp;""</f>
        <v>Yes</v>
      </c>
      <c r="H25" s="4" t="str">
        <f>VLOOKUP($A25,'Institution Evaluation'!$A$56:$K$345,8,0)&amp;""</f>
        <v/>
      </c>
      <c r="I25" s="4" t="str">
        <f>VLOOKUP($A25,'Institution Evaluation'!$A$56:$K$345,9,0)&amp;""</f>
        <v>Critical Importance</v>
      </c>
      <c r="J25" s="4" t="str">
        <f>VLOOKUP($A25,'Institution Evaluation'!$A$56:$K$345,10,0)&amp;""</f>
        <v/>
      </c>
      <c r="K25" s="4">
        <f>IF($I25='Auto Responses'!$J$11,20,IF($I25='Auto Responses'!$J$13,5,10))</f>
        <v>20</v>
      </c>
      <c r="L25" s="107">
        <f>IF($E25='Auto Responses'!$L$13, 'Auto Responses'!$J$5,IF(AND($D25='Auto Responses'!$J$27,$H25=""),'Auto Responses'!$J$5,IF(AND($D25='Auto Responses'!$J$27,$H25='Auto Responses'!$J$7),1,IF(AND($D25='Auto Responses'!$J$27,$H25='Auto Responses'!$J$8),0,IF(OR(AND($F25=$G25,$H25=""),$H25='Auto Responses'!$J$7),1,0)))))</f>
        <v>0</v>
      </c>
      <c r="M25" s="4" t="str">
        <f>VLOOKUP($A25,'Institution Evaluation'!$A$56:$K$345,11,0)&amp;""</f>
        <v>FALSE</v>
      </c>
      <c r="N25" s="4">
        <f>IF($J25='Auto Responses'!$J$11,1,IF(AND($J25="",$I25='Auto Responses'!$J$11),1,0))</f>
        <v>1</v>
      </c>
      <c r="O25" s="107">
        <f>IF(OR($E25='Auto Responses'!$L$13,$F25='Auto Responses'!$J$5),'Auto Responses'!$J$5,IF($J25="",$K25,IF($J25='Auto Responses'!$J$13,5,IF($J25='Auto Responses'!$J$12,10,IF($J25='Auto Responses'!$J$11,20,0)))))</f>
        <v>20</v>
      </c>
      <c r="P25" s="107">
        <f>IF(OR($O25='Auto Responses'!$J$5,$L25='Auto Responses'!$J$5),'Auto Responses'!$J$5,$O25*$L25)</f>
        <v>0</v>
      </c>
      <c r="Q25" s="107">
        <f t="shared" si="1"/>
        <v>0</v>
      </c>
      <c r="R25" s="107">
        <f t="shared" si="5"/>
        <v>0</v>
      </c>
      <c r="S25" s="107">
        <f t="shared" si="2"/>
        <v>0</v>
      </c>
      <c r="T25" s="107">
        <f t="shared" si="3"/>
        <v>1</v>
      </c>
      <c r="U25" s="107">
        <f t="shared" si="6"/>
        <v>1</v>
      </c>
      <c r="V25" s="107">
        <f t="shared" si="4"/>
        <v>1</v>
      </c>
    </row>
    <row r="26" spans="1:22" ht="57" x14ac:dyDescent="0.2">
      <c r="A26" s="4" t="str">
        <f>Questions!$A26</f>
        <v>DOCU-02</v>
      </c>
      <c r="B26" s="4" t="str">
        <f t="shared" si="0"/>
        <v>DOCU</v>
      </c>
      <c r="C26" s="4" t="str">
        <f>VLOOKUP($A26,Questions!$A$3:$L$333,2,0)&amp;""</f>
        <v>Do you have a well-documented disaster recovery plan (DRP), with a clear owner, that is tested annually?*</v>
      </c>
      <c r="D26" s="4" t="str">
        <f>VLOOKUP($A26,Questions!$A$3:$L$333,11,0)&amp;""</f>
        <v/>
      </c>
      <c r="E26" s="4" t="str">
        <f>VLOOKUP($A26,Questions!$A$3:$L$333,12,0)&amp;""</f>
        <v>Organization</v>
      </c>
      <c r="F26" s="4" t="str">
        <f>VLOOKUP($A26,'Institution Evaluation'!$A$56:$K$345,3,0)&amp;""</f>
        <v/>
      </c>
      <c r="G26" s="4" t="str">
        <f>VLOOKUP($A26,'Institution Evaluation'!$A$56:$K$345,7,0)&amp;""</f>
        <v>Yes</v>
      </c>
      <c r="H26" s="4" t="str">
        <f>VLOOKUP($A26,'Institution Evaluation'!$A$56:$K$345,8,0)&amp;""</f>
        <v/>
      </c>
      <c r="I26" s="4" t="str">
        <f>VLOOKUP($A26,'Institution Evaluation'!$A$56:$K$345,9,0)&amp;""</f>
        <v>Critical Importance</v>
      </c>
      <c r="J26" s="4" t="str">
        <f>VLOOKUP($A26,'Institution Evaluation'!$A$56:$K$345,10,0)&amp;""</f>
        <v/>
      </c>
      <c r="K26" s="4">
        <f>IF($I26='Auto Responses'!$J$11,20,IF($I26='Auto Responses'!$J$13,5,10))</f>
        <v>20</v>
      </c>
      <c r="L26" s="107">
        <f>IF($E26='Auto Responses'!$L$13, 'Auto Responses'!$J$5,IF(AND($D26='Auto Responses'!$J$27,$H26=""),'Auto Responses'!$J$5,IF(AND($D26='Auto Responses'!$J$27,$H26='Auto Responses'!$J$7),1,IF(AND($D26='Auto Responses'!$J$27,$H26='Auto Responses'!$J$8),0,IF(OR(AND($F26=$G26,$H26=""),$H26='Auto Responses'!$J$7),1,0)))))</f>
        <v>0</v>
      </c>
      <c r="M26" s="4" t="str">
        <f>VLOOKUP($A26,'Institution Evaluation'!$A$56:$K$345,11,0)&amp;""</f>
        <v>FALSE</v>
      </c>
      <c r="N26" s="4">
        <f>IF($J26='Auto Responses'!$J$11,1,IF(AND($J26="",$I26='Auto Responses'!$J$11),1,0))</f>
        <v>1</v>
      </c>
      <c r="O26" s="107">
        <f>IF(OR($E26='Auto Responses'!$L$13,$F26='Auto Responses'!$J$5),'Auto Responses'!$J$5,IF($J26="",$K26,IF($J26='Auto Responses'!$J$13,5,IF($J26='Auto Responses'!$J$12,10,IF($J26='Auto Responses'!$J$11,20,0)))))</f>
        <v>20</v>
      </c>
      <c r="P26" s="107">
        <f>IF(OR($O26='Auto Responses'!$J$5,$L26='Auto Responses'!$J$5),'Auto Responses'!$J$5,$O26*$L26)</f>
        <v>0</v>
      </c>
      <c r="Q26" s="107">
        <f t="shared" si="1"/>
        <v>0</v>
      </c>
      <c r="R26" s="107">
        <f t="shared" si="5"/>
        <v>0</v>
      </c>
      <c r="S26" s="107">
        <f t="shared" si="2"/>
        <v>0</v>
      </c>
      <c r="T26" s="107">
        <f t="shared" si="3"/>
        <v>1</v>
      </c>
      <c r="U26" s="107">
        <f t="shared" si="6"/>
        <v>2</v>
      </c>
      <c r="V26" s="107">
        <f t="shared" si="4"/>
        <v>2</v>
      </c>
    </row>
    <row r="27" spans="1:22" ht="57" x14ac:dyDescent="0.2">
      <c r="A27" s="4" t="str">
        <f>Questions!$A27</f>
        <v>DOCU-03</v>
      </c>
      <c r="B27" s="4" t="str">
        <f t="shared" si="0"/>
        <v>DOCU</v>
      </c>
      <c r="C27" s="4" t="str">
        <f>VLOOKUP($A27,Questions!$A$3:$L$333,2,0)&amp;""</f>
        <v>Have you undergone a SSAE 18/SOC 2 audit?</v>
      </c>
      <c r="D27" s="4" t="str">
        <f>VLOOKUP($A27,Questions!$A$3:$L$333,11,0)&amp;""</f>
        <v/>
      </c>
      <c r="E27" s="4" t="str">
        <f>VLOOKUP($A27,Questions!$A$3:$L$333,12,0)&amp;""</f>
        <v>Organization</v>
      </c>
      <c r="F27" s="4" t="str">
        <f>VLOOKUP($A27,'Institution Evaluation'!$A$56:$K$345,3,0)&amp;""</f>
        <v/>
      </c>
      <c r="G27" s="4" t="str">
        <f>VLOOKUP($A27,'Institution Evaluation'!$A$56:$K$345,7,0)&amp;""</f>
        <v>Yes</v>
      </c>
      <c r="H27" s="4" t="str">
        <f>VLOOKUP($A27,'Institution Evaluation'!$A$56:$K$345,8,0)&amp;""</f>
        <v/>
      </c>
      <c r="I27" s="4" t="str">
        <f>VLOOKUP($A27,'Institution Evaluation'!$A$56:$K$345,9,0)&amp;""</f>
        <v>Standard Importance</v>
      </c>
      <c r="J27" s="4" t="str">
        <f>VLOOKUP($A27,'Institution Evaluation'!$A$56:$K$345,10,0)&amp;""</f>
        <v/>
      </c>
      <c r="K27" s="4">
        <f>IF($I27='Auto Responses'!$J$11,20,IF($I27='Auto Responses'!$J$13,5,10))</f>
        <v>10</v>
      </c>
      <c r="L27" s="107">
        <f>IF($E27='Auto Responses'!$L$13, 'Auto Responses'!$J$5,IF(AND($D27='Auto Responses'!$J$27,$H27=""),'Auto Responses'!$J$5,IF(AND($D27='Auto Responses'!$J$27,$H27='Auto Responses'!$J$7),1,IF(AND($D27='Auto Responses'!$J$27,$H27='Auto Responses'!$J$8),0,IF(OR(AND($F27=$G27,$H27=""),$H27='Auto Responses'!$J$7),1,0)))))</f>
        <v>0</v>
      </c>
      <c r="M27" s="4" t="str">
        <f>VLOOKUP($A27,'Institution Evaluation'!$A$56:$K$345,11,0)&amp;""</f>
        <v>FALSE</v>
      </c>
      <c r="N27" s="4">
        <f>IF($J27='Auto Responses'!$J$11,1,IF(AND($J27="",$I27='Auto Responses'!$J$11),1,0))</f>
        <v>0</v>
      </c>
      <c r="O27" s="107">
        <f>IF(OR($E27='Auto Responses'!$L$13,$F27='Auto Responses'!$J$5),'Auto Responses'!$J$5,IF($J27="",$K27,IF($J27='Auto Responses'!$J$13,5,IF($J27='Auto Responses'!$J$12,10,IF($J27='Auto Responses'!$J$11,20,0)))))</f>
        <v>10</v>
      </c>
      <c r="P27" s="107">
        <f>IF(OR($O27='Auto Responses'!$J$5,$L27='Auto Responses'!$J$5),'Auto Responses'!$J$5,$O27*$L27)</f>
        <v>0</v>
      </c>
      <c r="Q27" s="107">
        <f t="shared" si="1"/>
        <v>0</v>
      </c>
      <c r="R27" s="107">
        <f t="shared" si="5"/>
        <v>0</v>
      </c>
      <c r="S27" s="107">
        <f t="shared" si="2"/>
        <v>0</v>
      </c>
      <c r="T27" s="107">
        <f t="shared" si="3"/>
        <v>0</v>
      </c>
      <c r="U27" s="107">
        <f t="shared" si="6"/>
        <v>2</v>
      </c>
      <c r="V27" s="107">
        <f t="shared" si="4"/>
        <v>0</v>
      </c>
    </row>
    <row r="28" spans="1:22" ht="57" x14ac:dyDescent="0.2">
      <c r="A28" s="4" t="str">
        <f>Questions!$A28</f>
        <v>DOCU-04</v>
      </c>
      <c r="B28" s="4" t="str">
        <f t="shared" si="0"/>
        <v>DOCU</v>
      </c>
      <c r="C28" s="4" t="str">
        <f>VLOOKUP($A28,Questions!$A$3:$L$333,2,0)&amp;""</f>
        <v>Do you conform with a specific industry standard security framework (e.g., NIST Cybersecurity Framework, CIS Controls, ISO 27001, etc.)?</v>
      </c>
      <c r="D28" s="4" t="str">
        <f>VLOOKUP($A28,Questions!$A$3:$L$333,11,0)&amp;""</f>
        <v/>
      </c>
      <c r="E28" s="4" t="str">
        <f>VLOOKUP($A28,Questions!$A$3:$L$333,12,0)&amp;""</f>
        <v>Organization</v>
      </c>
      <c r="F28" s="4" t="str">
        <f>VLOOKUP($A28,'Institution Evaluation'!$A$56:$K$345,3,0)&amp;""</f>
        <v/>
      </c>
      <c r="G28" s="4" t="str">
        <f>VLOOKUP($A28,'Institution Evaluation'!$A$56:$K$345,7,0)&amp;""</f>
        <v>Yes</v>
      </c>
      <c r="H28" s="4" t="str">
        <f>VLOOKUP($A28,'Institution Evaluation'!$A$56:$K$345,8,0)&amp;""</f>
        <v/>
      </c>
      <c r="I28" s="4" t="str">
        <f>VLOOKUP($A28,'Institution Evaluation'!$A$56:$K$345,9,0)&amp;""</f>
        <v>Standard Importance</v>
      </c>
      <c r="J28" s="4" t="str">
        <f>VLOOKUP($A28,'Institution Evaluation'!$A$56:$K$345,10,0)&amp;""</f>
        <v/>
      </c>
      <c r="K28" s="4">
        <f>IF($I28='Auto Responses'!$J$11,20,IF($I28='Auto Responses'!$J$13,5,10))</f>
        <v>10</v>
      </c>
      <c r="L28" s="107">
        <f>IF($E28='Auto Responses'!$L$13, 'Auto Responses'!$J$5,IF(AND($D28='Auto Responses'!$J$27,$H28=""),'Auto Responses'!$J$5,IF(AND($D28='Auto Responses'!$J$27,$H28='Auto Responses'!$J$7),1,IF(AND($D28='Auto Responses'!$J$27,$H28='Auto Responses'!$J$8),0,IF(OR(AND($F28=$G28,$H28=""),$H28='Auto Responses'!$J$7),1,0)))))</f>
        <v>0</v>
      </c>
      <c r="M28" s="4" t="str">
        <f>VLOOKUP($A28,'Institution Evaluation'!$A$56:$K$345,11,0)&amp;""</f>
        <v>FALSE</v>
      </c>
      <c r="N28" s="4">
        <f>IF($J28='Auto Responses'!$J$11,1,IF(AND($J28="",$I28='Auto Responses'!$J$11),1,0))</f>
        <v>0</v>
      </c>
      <c r="O28" s="107">
        <f>IF(OR($E28='Auto Responses'!$L$13,$F28='Auto Responses'!$J$5),'Auto Responses'!$J$5,IF($J28="",$K28,IF($J28='Auto Responses'!$J$13,5,IF($J28='Auto Responses'!$J$12,10,IF($J28='Auto Responses'!$J$11,20,0)))))</f>
        <v>10</v>
      </c>
      <c r="P28" s="107">
        <f>IF(OR($O28='Auto Responses'!$J$5,$L28='Auto Responses'!$J$5),'Auto Responses'!$J$5,$O28*$L28)</f>
        <v>0</v>
      </c>
      <c r="Q28" s="107">
        <f t="shared" si="1"/>
        <v>0</v>
      </c>
      <c r="R28" s="107">
        <f t="shared" si="5"/>
        <v>0</v>
      </c>
      <c r="S28" s="107">
        <f t="shared" si="2"/>
        <v>0</v>
      </c>
      <c r="T28" s="107">
        <f t="shared" si="3"/>
        <v>0</v>
      </c>
      <c r="U28" s="107">
        <f t="shared" si="6"/>
        <v>2</v>
      </c>
      <c r="V28" s="107">
        <f t="shared" si="4"/>
        <v>0</v>
      </c>
    </row>
    <row r="29" spans="1:22" ht="57" x14ac:dyDescent="0.2">
      <c r="A29" s="4" t="str">
        <f>Questions!$A29</f>
        <v>DOCU-05</v>
      </c>
      <c r="B29" s="4" t="str">
        <f t="shared" si="0"/>
        <v>DOCU</v>
      </c>
      <c r="C29" s="4" t="str">
        <f>VLOOKUP($A29,Questions!$A$3:$L$333,2,0)&amp;""</f>
        <v>Can you provide overall system and/or application architecture diagrams, including a full description of the data flow for all components of the system?</v>
      </c>
      <c r="D29" s="4" t="str">
        <f>VLOOKUP($A29,Questions!$A$3:$L$333,11,0)&amp;""</f>
        <v/>
      </c>
      <c r="E29" s="4" t="str">
        <f>VLOOKUP($A29,Questions!$A$3:$L$333,12,0)&amp;""</f>
        <v>Organization</v>
      </c>
      <c r="F29" s="4" t="str">
        <f>VLOOKUP($A29,'Institution Evaluation'!$A$56:$K$345,3,0)&amp;""</f>
        <v/>
      </c>
      <c r="G29" s="4" t="str">
        <f>VLOOKUP($A29,'Institution Evaluation'!$A$56:$K$345,7,0)&amp;""</f>
        <v>Yes</v>
      </c>
      <c r="H29" s="4" t="str">
        <f>VLOOKUP($A29,'Institution Evaluation'!$A$56:$K$345,8,0)&amp;""</f>
        <v/>
      </c>
      <c r="I29" s="4" t="str">
        <f>VLOOKUP($A29,'Institution Evaluation'!$A$56:$K$345,9,0)&amp;""</f>
        <v>Standard Importance</v>
      </c>
      <c r="J29" s="4" t="str">
        <f>VLOOKUP($A29,'Institution Evaluation'!$A$56:$K$345,10,0)&amp;""</f>
        <v/>
      </c>
      <c r="K29" s="4">
        <f>IF($I29='Auto Responses'!$J$11,20,IF($I29='Auto Responses'!$J$13,5,10))</f>
        <v>10</v>
      </c>
      <c r="L29" s="107">
        <f>IF($E29='Auto Responses'!$L$13, 'Auto Responses'!$J$5,IF(AND($D29='Auto Responses'!$J$27,$H29=""),'Auto Responses'!$J$5,IF(AND($D29='Auto Responses'!$J$27,$H29='Auto Responses'!$J$7),1,IF(AND($D29='Auto Responses'!$J$27,$H29='Auto Responses'!$J$8),0,IF(OR(AND($F29=$G29,$H29=""),$H29='Auto Responses'!$J$7),1,0)))))</f>
        <v>0</v>
      </c>
      <c r="M29" s="4" t="str">
        <f>VLOOKUP($A29,'Institution Evaluation'!$A$56:$K$345,11,0)&amp;""</f>
        <v>FALSE</v>
      </c>
      <c r="N29" s="4">
        <f>IF($J29='Auto Responses'!$J$11,1,IF(AND($J29="",$I29='Auto Responses'!$J$11),1,0))</f>
        <v>0</v>
      </c>
      <c r="O29" s="107">
        <f>IF(OR($E29='Auto Responses'!$L$13,$F29='Auto Responses'!$J$5),'Auto Responses'!$J$5,IF($J29="",$K29,IF($J29='Auto Responses'!$J$13,5,IF($J29='Auto Responses'!$J$12,10,IF($J29='Auto Responses'!$J$11,20,0)))))</f>
        <v>10</v>
      </c>
      <c r="P29" s="107">
        <f>IF(OR($O29='Auto Responses'!$J$5,$L29='Auto Responses'!$J$5),'Auto Responses'!$J$5,$O29*$L29)</f>
        <v>0</v>
      </c>
      <c r="Q29" s="107">
        <f t="shared" si="1"/>
        <v>0</v>
      </c>
      <c r="R29" s="107">
        <f t="shared" si="5"/>
        <v>0</v>
      </c>
      <c r="S29" s="107">
        <f t="shared" si="2"/>
        <v>0</v>
      </c>
      <c r="T29" s="107">
        <f t="shared" si="3"/>
        <v>0</v>
      </c>
      <c r="U29" s="107">
        <f t="shared" si="6"/>
        <v>2</v>
      </c>
      <c r="V29" s="107">
        <f t="shared" si="4"/>
        <v>0</v>
      </c>
    </row>
    <row r="30" spans="1:22" ht="57" x14ac:dyDescent="0.2">
      <c r="A30" s="4" t="str">
        <f>Questions!$A30</f>
        <v>DOCU-06</v>
      </c>
      <c r="B30" s="4" t="str">
        <f t="shared" si="0"/>
        <v>DOCU</v>
      </c>
      <c r="C30" s="4" t="str">
        <f>VLOOKUP($A30,Questions!$A$3:$L$333,2,0)&amp;""</f>
        <v>Does your organization have a data privacy policy?</v>
      </c>
      <c r="D30" s="4" t="str">
        <f>VLOOKUP($A30,Questions!$A$3:$L$333,11,0)&amp;""</f>
        <v/>
      </c>
      <c r="E30" s="4" t="str">
        <f>VLOOKUP($A30,Questions!$A$3:$L$333,12,0)&amp;""</f>
        <v>Organization</v>
      </c>
      <c r="F30" s="4" t="str">
        <f>VLOOKUP($A30,'Institution Evaluation'!$A$56:$K$345,3,0)&amp;""</f>
        <v/>
      </c>
      <c r="G30" s="4" t="str">
        <f>VLOOKUP($A30,'Institution Evaluation'!$A$56:$K$345,7,0)&amp;""</f>
        <v>Yes</v>
      </c>
      <c r="H30" s="4" t="str">
        <f>VLOOKUP($A30,'Institution Evaluation'!$A$56:$K$345,8,0)&amp;""</f>
        <v/>
      </c>
      <c r="I30" s="4" t="str">
        <f>VLOOKUP($A30,'Institution Evaluation'!$A$56:$K$345,9,0)&amp;""</f>
        <v>Standard Importance</v>
      </c>
      <c r="J30" s="4" t="str">
        <f>VLOOKUP($A30,'Institution Evaluation'!$A$56:$K$345,10,0)&amp;""</f>
        <v/>
      </c>
      <c r="K30" s="4">
        <f>IF($I30='Auto Responses'!$J$11,20,IF($I30='Auto Responses'!$J$13,5,10))</f>
        <v>10</v>
      </c>
      <c r="L30" s="107">
        <f>IF($E30='Auto Responses'!$L$13, 'Auto Responses'!$J$5,IF(AND($D30='Auto Responses'!$J$27,$H30=""),'Auto Responses'!$J$5,IF(AND($D30='Auto Responses'!$J$27,$H30='Auto Responses'!$J$7),1,IF(AND($D30='Auto Responses'!$J$27,$H30='Auto Responses'!$J$8),0,IF(OR(AND($F30=$G30,$H30=""),$H30='Auto Responses'!$J$7),1,0)))))</f>
        <v>0</v>
      </c>
      <c r="M30" s="4" t="str">
        <f>VLOOKUP($A30,'Institution Evaluation'!$A$56:$K$345,11,0)&amp;""</f>
        <v>FALSE</v>
      </c>
      <c r="N30" s="4">
        <f>IF($J30='Auto Responses'!$J$11,1,IF(AND($J30="",$I30='Auto Responses'!$J$11),1,0))</f>
        <v>0</v>
      </c>
      <c r="O30" s="107">
        <f>IF(OR($E30='Auto Responses'!$L$13,$F30='Auto Responses'!$J$5),'Auto Responses'!$J$5,IF($J30="",$K30,IF($J30='Auto Responses'!$J$13,5,IF($J30='Auto Responses'!$J$12,10,IF($J30='Auto Responses'!$J$11,20,0)))))</f>
        <v>10</v>
      </c>
      <c r="P30" s="107">
        <f>IF(OR($O30='Auto Responses'!$J$5,$L30='Auto Responses'!$J$5),'Auto Responses'!$J$5,$O30*$L30)</f>
        <v>0</v>
      </c>
      <c r="Q30" s="107">
        <f t="shared" si="1"/>
        <v>0</v>
      </c>
      <c r="R30" s="107">
        <f t="shared" si="5"/>
        <v>0</v>
      </c>
      <c r="S30" s="107">
        <f t="shared" si="2"/>
        <v>0</v>
      </c>
      <c r="T30" s="107">
        <f t="shared" si="3"/>
        <v>0</v>
      </c>
      <c r="U30" s="107">
        <f t="shared" si="6"/>
        <v>2</v>
      </c>
      <c r="V30" s="107">
        <f t="shared" si="4"/>
        <v>0</v>
      </c>
    </row>
    <row r="31" spans="1:22" ht="57" x14ac:dyDescent="0.2">
      <c r="A31" s="4" t="str">
        <f>Questions!$A31</f>
        <v>DOCU-07</v>
      </c>
      <c r="B31" s="4" t="str">
        <f t="shared" si="0"/>
        <v>DOCU</v>
      </c>
      <c r="C31" s="4" t="str">
        <f>VLOOKUP($A31,Questions!$A$3:$L$333,2,0)&amp;""</f>
        <v>Do you have a documented, and currently implemented, employee onboarding and offboarding policy?</v>
      </c>
      <c r="D31" s="4" t="str">
        <f>VLOOKUP($A31,Questions!$A$3:$L$333,11,0)&amp;""</f>
        <v/>
      </c>
      <c r="E31" s="4" t="str">
        <f>VLOOKUP($A31,Questions!$A$3:$L$333,12,0)&amp;""</f>
        <v>Organization</v>
      </c>
      <c r="F31" s="4" t="str">
        <f>VLOOKUP($A31,'Institution Evaluation'!$A$56:$K$345,3,0)&amp;""</f>
        <v/>
      </c>
      <c r="G31" s="4" t="str">
        <f>VLOOKUP($A31,'Institution Evaluation'!$A$56:$K$345,7,0)&amp;""</f>
        <v>Yes</v>
      </c>
      <c r="H31" s="4" t="str">
        <f>VLOOKUP($A31,'Institution Evaluation'!$A$56:$K$345,8,0)&amp;""</f>
        <v/>
      </c>
      <c r="I31" s="4" t="str">
        <f>VLOOKUP($A31,'Institution Evaluation'!$A$56:$K$345,9,0)&amp;""</f>
        <v>Standard Importance</v>
      </c>
      <c r="J31" s="4" t="str">
        <f>VLOOKUP($A31,'Institution Evaluation'!$A$56:$K$345,10,0)&amp;""</f>
        <v/>
      </c>
      <c r="K31" s="4">
        <f>IF($I31='Auto Responses'!$J$11,20,IF($I31='Auto Responses'!$J$13,5,10))</f>
        <v>10</v>
      </c>
      <c r="L31" s="107">
        <f>IF($E31='Auto Responses'!$L$13, 'Auto Responses'!$J$5,IF(AND($D31='Auto Responses'!$J$27,$H31=""),'Auto Responses'!$J$5,IF(AND($D31='Auto Responses'!$J$27,$H31='Auto Responses'!$J$7),1,IF(AND($D31='Auto Responses'!$J$27,$H31='Auto Responses'!$J$8),0,IF(OR(AND($F31=$G31,$H31=""),$H31='Auto Responses'!$J$7),1,0)))))</f>
        <v>0</v>
      </c>
      <c r="M31" s="4" t="str">
        <f>VLOOKUP($A31,'Institution Evaluation'!$A$56:$K$345,11,0)&amp;""</f>
        <v>FALSE</v>
      </c>
      <c r="N31" s="4">
        <f>IF($J31='Auto Responses'!$J$11,1,IF(AND($J31="",$I31='Auto Responses'!$J$11),1,0))</f>
        <v>0</v>
      </c>
      <c r="O31" s="107">
        <f>IF(OR($E31='Auto Responses'!$L$13,$F31='Auto Responses'!$J$5),'Auto Responses'!$J$5,IF($J31="",$K31,IF($J31='Auto Responses'!$J$13,5,IF($J31='Auto Responses'!$J$12,10,IF($J31='Auto Responses'!$J$11,20,0)))))</f>
        <v>10</v>
      </c>
      <c r="P31" s="107">
        <f>IF(OR($O31='Auto Responses'!$J$5,$L31='Auto Responses'!$J$5),'Auto Responses'!$J$5,$O31*$L31)</f>
        <v>0</v>
      </c>
      <c r="Q31" s="107">
        <f t="shared" si="1"/>
        <v>0</v>
      </c>
      <c r="R31" s="107">
        <f t="shared" si="5"/>
        <v>0</v>
      </c>
      <c r="S31" s="107">
        <f t="shared" si="2"/>
        <v>0</v>
      </c>
      <c r="T31" s="107">
        <f t="shared" si="3"/>
        <v>0</v>
      </c>
      <c r="U31" s="107">
        <f t="shared" si="6"/>
        <v>2</v>
      </c>
      <c r="V31" s="107">
        <f t="shared" si="4"/>
        <v>0</v>
      </c>
    </row>
    <row r="32" spans="1:22" ht="57" x14ac:dyDescent="0.2">
      <c r="A32" s="4" t="str">
        <f>Questions!$A32</f>
        <v>ITAC-01</v>
      </c>
      <c r="B32" s="4" t="str">
        <f t="shared" si="0"/>
        <v>ITAC</v>
      </c>
      <c r="C32" s="4" t="str">
        <f>VLOOKUP($A32,Questions!$A$3:$L$333,2,0)&amp;""</f>
        <v>Solution Provider Accessibility Contact Name</v>
      </c>
      <c r="D32" s="4" t="str">
        <f>VLOOKUP($A32,Questions!$A$3:$L$333,11,0)&amp;""</f>
        <v>NA</v>
      </c>
      <c r="E32" s="4" t="str">
        <f>VLOOKUP($A32,Questions!$A$3:$L$333,12,0)&amp;""</f>
        <v>Not Scored</v>
      </c>
      <c r="F32" s="4" t="str">
        <f>VLOOKUP($A32,'Institution Evaluation'!$A$56:$K$345,3,0)&amp;""</f>
        <v/>
      </c>
      <c r="G32" s="4" t="str">
        <f>VLOOKUP($A32,'Institution Evaluation'!$A$56:$K$345,7,0)&amp;""</f>
        <v>Not scored</v>
      </c>
      <c r="H32" s="4" t="str">
        <f>VLOOKUP($A32,'Institution Evaluation'!$A$56:$K$345,8,0)&amp;""</f>
        <v/>
      </c>
      <c r="I32" s="4" t="str">
        <f>VLOOKUP($A32,'Institution Evaluation'!$A$56:$K$345,9,0)&amp;""</f>
        <v/>
      </c>
      <c r="J32" s="4" t="str">
        <f>VLOOKUP($A32,'Institution Evaluation'!$A$56:$K$345,10,0)&amp;""</f>
        <v/>
      </c>
      <c r="K32" s="4">
        <f>IF($I32='Auto Responses'!$J$11,20,IF($I32='Auto Responses'!$J$13,5,10))</f>
        <v>10</v>
      </c>
      <c r="L32" s="107" t="str">
        <f>IF($E32='Auto Responses'!$L$13, 'Auto Responses'!$J$5,IF(AND($D32='Auto Responses'!$J$27,$H32=""),'Auto Responses'!$J$5,IF(AND($D32='Auto Responses'!$J$27,$H32='Auto Responses'!$J$7),1,IF(AND($D32='Auto Responses'!$J$27,$H32='Auto Responses'!$J$8),0,IF(OR(AND($F32=$G32,$H32=""),$H32='Auto Responses'!$J$7),1,0)))))</f>
        <v>N/A</v>
      </c>
      <c r="M32" s="4" t="str">
        <f>VLOOKUP($A32,'Institution Evaluation'!$A$56:$K$345,11,0)&amp;""</f>
        <v>FALSE</v>
      </c>
      <c r="N32" s="4">
        <f>IF($J32='Auto Responses'!$J$11,1,IF(AND($J32="",$I32='Auto Responses'!$J$11),1,0))</f>
        <v>0</v>
      </c>
      <c r="O32" s="107" t="str">
        <f>IF(OR($F$18='Auto Responses'!$J$4,$E32='Auto Responses'!$L$13,$F32='Auto Responses'!$J$5),'Auto Responses'!$J$5,IF($J32="",$K32,IF($J32='Auto Responses'!$J$13,5,IF($J32='Auto Responses'!$J$12,10,IF($J32='Auto Responses'!$J$11,20,0)))))</f>
        <v>N/A</v>
      </c>
      <c r="P32" s="107" t="str">
        <f>IF(OR($O32='Auto Responses'!$J$5,$L32='Auto Responses'!$J$5),'Auto Responses'!$J$5,$O32*$L32)</f>
        <v>N/A</v>
      </c>
      <c r="Q32" s="107">
        <f t="shared" si="1"/>
        <v>0</v>
      </c>
      <c r="R32" s="107">
        <f t="shared" si="5"/>
        <v>0</v>
      </c>
      <c r="S32" s="107">
        <f t="shared" si="2"/>
        <v>0</v>
      </c>
      <c r="T32" s="107">
        <f t="shared" si="3"/>
        <v>0</v>
      </c>
      <c r="U32" s="107">
        <f t="shared" si="6"/>
        <v>2</v>
      </c>
      <c r="V32" s="107">
        <f t="shared" si="4"/>
        <v>0</v>
      </c>
    </row>
    <row r="33" spans="1:22" ht="57" x14ac:dyDescent="0.2">
      <c r="A33" s="4" t="str">
        <f>Questions!$A33</f>
        <v>ITAC-02</v>
      </c>
      <c r="B33" s="4" t="str">
        <f t="shared" si="0"/>
        <v>ITAC</v>
      </c>
      <c r="C33" s="4" t="str">
        <f>VLOOKUP($A33,Questions!$A$3:$L$333,2,0)&amp;""</f>
        <v>Solution Provider Accessibility Contact Title</v>
      </c>
      <c r="D33" s="4" t="str">
        <f>VLOOKUP($A33,Questions!$A$3:$L$333,11,0)&amp;""</f>
        <v>NA</v>
      </c>
      <c r="E33" s="4" t="str">
        <f>VLOOKUP($A33,Questions!$A$3:$L$333,12,0)&amp;""</f>
        <v>Not Scored</v>
      </c>
      <c r="F33" s="4" t="str">
        <f>VLOOKUP($A33,'Institution Evaluation'!$A$56:$K$345,3,0)&amp;""</f>
        <v/>
      </c>
      <c r="G33" s="4" t="str">
        <f>VLOOKUP($A33,'Institution Evaluation'!$A$56:$K$345,7,0)&amp;""</f>
        <v>Not scored</v>
      </c>
      <c r="H33" s="4" t="str">
        <f>VLOOKUP($A33,'Institution Evaluation'!$A$56:$K$345,8,0)&amp;""</f>
        <v/>
      </c>
      <c r="I33" s="4" t="str">
        <f>VLOOKUP($A33,'Institution Evaluation'!$A$56:$K$345,9,0)&amp;""</f>
        <v/>
      </c>
      <c r="J33" s="4" t="str">
        <f>VLOOKUP($A33,'Institution Evaluation'!$A$56:$K$345,10,0)&amp;""</f>
        <v/>
      </c>
      <c r="K33" s="4">
        <f>IF($I33='Auto Responses'!$J$11,20,IF($I33='Auto Responses'!$J$13,5,10))</f>
        <v>10</v>
      </c>
      <c r="L33" s="107" t="str">
        <f>IF($E33='Auto Responses'!$L$13, 'Auto Responses'!$J$5,IF(AND($D33='Auto Responses'!$J$27,$H33=""),'Auto Responses'!$J$5,IF(AND($D33='Auto Responses'!$J$27,$H33='Auto Responses'!$J$7),1,IF(AND($D33='Auto Responses'!$J$27,$H33='Auto Responses'!$J$8),0,IF(OR(AND($F33=$G33,$H33=""),$H33='Auto Responses'!$J$7),1,0)))))</f>
        <v>N/A</v>
      </c>
      <c r="M33" s="4" t="str">
        <f>VLOOKUP($A33,'Institution Evaluation'!$A$56:$K$345,11,0)&amp;""</f>
        <v>FALSE</v>
      </c>
      <c r="N33" s="4">
        <f>IF($J33='Auto Responses'!$J$11,1,IF(AND($J33="",$I33='Auto Responses'!$J$11),1,0))</f>
        <v>0</v>
      </c>
      <c r="O33" s="107" t="str">
        <f>IF(OR($F$18='Auto Responses'!$J$4,$E33='Auto Responses'!$L$13,$F33='Auto Responses'!$J$5),'Auto Responses'!$J$5,IF($J33="",$K33,IF($J33='Auto Responses'!$J$13,5,IF($J33='Auto Responses'!$J$12,10,IF($J33='Auto Responses'!$J$11,20,0)))))</f>
        <v>N/A</v>
      </c>
      <c r="P33" s="107" t="str">
        <f>IF(OR($O33='Auto Responses'!$J$5,$L33='Auto Responses'!$J$5),'Auto Responses'!$J$5,$O33*$L33)</f>
        <v>N/A</v>
      </c>
      <c r="Q33" s="107">
        <f t="shared" si="1"/>
        <v>0</v>
      </c>
      <c r="R33" s="107">
        <f t="shared" si="5"/>
        <v>0</v>
      </c>
      <c r="S33" s="107">
        <f t="shared" si="2"/>
        <v>0</v>
      </c>
      <c r="T33" s="107">
        <f t="shared" si="3"/>
        <v>0</v>
      </c>
      <c r="U33" s="107">
        <f t="shared" si="6"/>
        <v>2</v>
      </c>
      <c r="V33" s="107">
        <f t="shared" si="4"/>
        <v>0</v>
      </c>
    </row>
    <row r="34" spans="1:22" ht="57" x14ac:dyDescent="0.2">
      <c r="A34" s="4" t="str">
        <f>Questions!$A34</f>
        <v>ITAC-03</v>
      </c>
      <c r="B34" s="4" t="str">
        <f t="shared" si="0"/>
        <v>ITAC</v>
      </c>
      <c r="C34" s="4" t="str">
        <f>VLOOKUP($A34,Questions!$A$3:$L$333,2,0)&amp;""</f>
        <v>Solution Provider Accessibility Contact Email</v>
      </c>
      <c r="D34" s="4" t="str">
        <f>VLOOKUP($A34,Questions!$A$3:$L$333,11,0)&amp;""</f>
        <v>NA</v>
      </c>
      <c r="E34" s="4" t="str">
        <f>VLOOKUP($A34,Questions!$A$3:$L$333,12,0)&amp;""</f>
        <v>Not Scored</v>
      </c>
      <c r="F34" s="4" t="str">
        <f>VLOOKUP($A34,'Institution Evaluation'!$A$56:$K$345,3,0)&amp;""</f>
        <v/>
      </c>
      <c r="G34" s="4" t="str">
        <f>VLOOKUP($A34,'Institution Evaluation'!$A$56:$K$345,7,0)&amp;""</f>
        <v>Not scored</v>
      </c>
      <c r="H34" s="4" t="str">
        <f>VLOOKUP($A34,'Institution Evaluation'!$A$56:$K$345,8,0)&amp;""</f>
        <v/>
      </c>
      <c r="I34" s="4" t="str">
        <f>VLOOKUP($A34,'Institution Evaluation'!$A$56:$K$345,9,0)&amp;""</f>
        <v/>
      </c>
      <c r="J34" s="4" t="str">
        <f>VLOOKUP($A34,'Institution Evaluation'!$A$56:$K$345,10,0)&amp;""</f>
        <v/>
      </c>
      <c r="K34" s="4">
        <f>IF($I34='Auto Responses'!$J$11,20,IF($I34='Auto Responses'!$J$13,5,10))</f>
        <v>10</v>
      </c>
      <c r="L34" s="107" t="str">
        <f>IF($E34='Auto Responses'!$L$13, 'Auto Responses'!$J$5,IF(AND($D34='Auto Responses'!$J$27,$H34=""),'Auto Responses'!$J$5,IF(AND($D34='Auto Responses'!$J$27,$H34='Auto Responses'!$J$7),1,IF(AND($D34='Auto Responses'!$J$27,$H34='Auto Responses'!$J$8),0,IF(OR(AND($F34=$G34,$H34=""),$H34='Auto Responses'!$J$7),1,0)))))</f>
        <v>N/A</v>
      </c>
      <c r="M34" s="4" t="str">
        <f>VLOOKUP($A34,'Institution Evaluation'!$A$56:$K$345,11,0)&amp;""</f>
        <v>FALSE</v>
      </c>
      <c r="N34" s="4">
        <f>IF($J34='Auto Responses'!$J$11,1,IF(AND($J34="",$I34='Auto Responses'!$J$11),1,0))</f>
        <v>0</v>
      </c>
      <c r="O34" s="107" t="str">
        <f>IF(OR($F$18='Auto Responses'!$J$4,$E34='Auto Responses'!$L$13,$F34='Auto Responses'!$J$5),'Auto Responses'!$J$5,IF($J34="",$K34,IF($J34='Auto Responses'!$J$13,5,IF($J34='Auto Responses'!$J$12,10,IF($J34='Auto Responses'!$J$11,20,0)))))</f>
        <v>N/A</v>
      </c>
      <c r="P34" s="107" t="str">
        <f>IF(OR($O34='Auto Responses'!$J$5,$L34='Auto Responses'!$J$5),'Auto Responses'!$J$5,$O34*$L34)</f>
        <v>N/A</v>
      </c>
      <c r="Q34" s="107">
        <f t="shared" si="1"/>
        <v>0</v>
      </c>
      <c r="R34" s="107">
        <f t="shared" si="5"/>
        <v>0</v>
      </c>
      <c r="S34" s="107">
        <f t="shared" si="2"/>
        <v>0</v>
      </c>
      <c r="T34" s="107">
        <f t="shared" si="3"/>
        <v>0</v>
      </c>
      <c r="U34" s="107">
        <f t="shared" si="6"/>
        <v>2</v>
      </c>
      <c r="V34" s="107">
        <f t="shared" si="4"/>
        <v>0</v>
      </c>
    </row>
    <row r="35" spans="1:22" ht="57" x14ac:dyDescent="0.2">
      <c r="A35" s="4" t="str">
        <f>Questions!$A35</f>
        <v>ITAC-04</v>
      </c>
      <c r="B35" s="4" t="str">
        <f t="shared" si="0"/>
        <v>ITAC</v>
      </c>
      <c r="C35" s="4" t="str">
        <f>VLOOKUP($A35,Questions!$A$3:$L$333,2,0)&amp;""</f>
        <v>Solution Provider Accessibility Contact Phone Number</v>
      </c>
      <c r="D35" s="4" t="str">
        <f>VLOOKUP($A35,Questions!$A$3:$L$333,11,0)&amp;""</f>
        <v>NA</v>
      </c>
      <c r="E35" s="4" t="str">
        <f>VLOOKUP($A35,Questions!$A$3:$L$333,12,0)&amp;""</f>
        <v>Not Scored</v>
      </c>
      <c r="F35" s="4" t="str">
        <f>VLOOKUP($A35,'Institution Evaluation'!$A$56:$K$345,3,0)&amp;""</f>
        <v/>
      </c>
      <c r="G35" s="4" t="str">
        <f>VLOOKUP($A35,'Institution Evaluation'!$A$56:$K$345,7,0)&amp;""</f>
        <v>Not scored</v>
      </c>
      <c r="H35" s="4" t="str">
        <f>VLOOKUP($A35,'Institution Evaluation'!$A$56:$K$345,8,0)&amp;""</f>
        <v/>
      </c>
      <c r="I35" s="4" t="str">
        <f>VLOOKUP($A35,'Institution Evaluation'!$A$56:$K$345,9,0)&amp;""</f>
        <v/>
      </c>
      <c r="J35" s="4" t="str">
        <f>VLOOKUP($A35,'Institution Evaluation'!$A$56:$K$345,10,0)&amp;""</f>
        <v/>
      </c>
      <c r="K35" s="4">
        <f>IF($I35='Auto Responses'!$J$11,20,IF($I35='Auto Responses'!$J$13,5,10))</f>
        <v>10</v>
      </c>
      <c r="L35" s="107" t="str">
        <f>IF($E35='Auto Responses'!$L$13, 'Auto Responses'!$J$5,IF(AND($D35='Auto Responses'!$J$27,$H35=""),'Auto Responses'!$J$5,IF(AND($D35='Auto Responses'!$J$27,$H35='Auto Responses'!$J$7),1,IF(AND($D35='Auto Responses'!$J$27,$H35='Auto Responses'!$J$8),0,IF(OR(AND($F35=$G35,$H35=""),$H35='Auto Responses'!$J$7),1,0)))))</f>
        <v>N/A</v>
      </c>
      <c r="M35" s="4" t="str">
        <f>VLOOKUP($A35,'Institution Evaluation'!$A$56:$K$345,11,0)&amp;""</f>
        <v>FALSE</v>
      </c>
      <c r="N35" s="4">
        <f>IF($J35='Auto Responses'!$J$11,1,IF(AND($J35="",$I35='Auto Responses'!$J$11),1,0))</f>
        <v>0</v>
      </c>
      <c r="O35" s="107" t="str">
        <f>IF(OR($F$18='Auto Responses'!$J$4,$E35='Auto Responses'!$L$13,$F35='Auto Responses'!$J$5),'Auto Responses'!$J$5,IF($J35="",$K35,IF($J35='Auto Responses'!$J$13,5,IF($J35='Auto Responses'!$J$12,10,IF($J35='Auto Responses'!$J$11,20,0)))))</f>
        <v>N/A</v>
      </c>
      <c r="P35" s="107" t="str">
        <f>IF(OR($O35='Auto Responses'!$J$5,$L35='Auto Responses'!$J$5),'Auto Responses'!$J$5,$O35*$L35)</f>
        <v>N/A</v>
      </c>
      <c r="Q35" s="107">
        <f t="shared" si="1"/>
        <v>0</v>
      </c>
      <c r="R35" s="107">
        <f t="shared" si="5"/>
        <v>0</v>
      </c>
      <c r="S35" s="107">
        <f t="shared" si="2"/>
        <v>0</v>
      </c>
      <c r="T35" s="107">
        <f t="shared" si="3"/>
        <v>0</v>
      </c>
      <c r="U35" s="107">
        <f t="shared" si="6"/>
        <v>2</v>
      </c>
      <c r="V35" s="107">
        <f t="shared" si="4"/>
        <v>0</v>
      </c>
    </row>
    <row r="36" spans="1:22" ht="57" x14ac:dyDescent="0.2">
      <c r="A36" s="4" t="str">
        <f>Questions!$A36</f>
        <v>ITAC-05</v>
      </c>
      <c r="B36" s="4" t="str">
        <f t="shared" si="0"/>
        <v>ITAC</v>
      </c>
      <c r="C36" s="4" t="str">
        <f>VLOOKUP($A36,Questions!$A$3:$L$333,2,0)&amp;""</f>
        <v>Web Link to Accessibility Statement or VPAT</v>
      </c>
      <c r="D36" s="4" t="str">
        <f>VLOOKUP($A36,Questions!$A$3:$L$333,11,0)&amp;""</f>
        <v/>
      </c>
      <c r="E36" s="4" t="str">
        <f>VLOOKUP($A36,Questions!$A$3:$L$333,12,0)&amp;""</f>
        <v>Not Scored</v>
      </c>
      <c r="F36" s="4" t="str">
        <f>VLOOKUP($A36,'Institution Evaluation'!$A$56:$K$345,3,0)&amp;""</f>
        <v/>
      </c>
      <c r="G36" s="4" t="str">
        <f>VLOOKUP($A36,'Institution Evaluation'!$A$56:$K$345,7,0)&amp;""</f>
        <v>Not scored</v>
      </c>
      <c r="H36" s="4" t="str">
        <f>VLOOKUP($A36,'Institution Evaluation'!$A$56:$K$345,8,0)&amp;""</f>
        <v/>
      </c>
      <c r="I36" s="4" t="str">
        <f>VLOOKUP($A36,'Institution Evaluation'!$A$56:$K$345,9,0)&amp;""</f>
        <v/>
      </c>
      <c r="J36" s="4" t="str">
        <f>VLOOKUP($A36,'Institution Evaluation'!$A$56:$K$345,10,0)&amp;""</f>
        <v/>
      </c>
      <c r="K36" s="4">
        <f>IF($I36='Auto Responses'!$J$11,20,IF($I36='Auto Responses'!$J$13,5,10))</f>
        <v>10</v>
      </c>
      <c r="L36" s="107" t="str">
        <f>IF($E36='Auto Responses'!$L$13, 'Auto Responses'!$J$5,IF(AND($D36='Auto Responses'!$J$27,$H36=""),'Auto Responses'!$J$5,IF(AND($D36='Auto Responses'!$J$27,$H36='Auto Responses'!$J$7),1,IF(AND($D36='Auto Responses'!$J$27,$H36='Auto Responses'!$J$8),0,IF(OR(AND($F36=$G36,$H36=""),$H36='Auto Responses'!$J$7),1,0)))))</f>
        <v>N/A</v>
      </c>
      <c r="M36" s="4" t="str">
        <f>VLOOKUP($A36,'Institution Evaluation'!$A$56:$K$345,11,0)&amp;""</f>
        <v>FALSE</v>
      </c>
      <c r="N36" s="4">
        <f>IF($J36='Auto Responses'!$J$11,1,IF(AND($J36="",$I36='Auto Responses'!$J$11),1,0))</f>
        <v>0</v>
      </c>
      <c r="O36" s="107" t="str">
        <f>IF(OR($F$18='Auto Responses'!$J$4,$E36='Auto Responses'!$L$13,$F36='Auto Responses'!$J$5),'Auto Responses'!$J$5,IF($J36="",$K36,IF($J36='Auto Responses'!$J$13,5,IF($J36='Auto Responses'!$J$12,10,IF($J36='Auto Responses'!$J$11,20,0)))))</f>
        <v>N/A</v>
      </c>
      <c r="P36" s="107" t="str">
        <f>IF(OR($O36='Auto Responses'!$J$5,$L36='Auto Responses'!$J$5),'Auto Responses'!$J$5,$O36*$L36)</f>
        <v>N/A</v>
      </c>
      <c r="Q36" s="107">
        <f t="shared" si="1"/>
        <v>0</v>
      </c>
      <c r="R36" s="107">
        <f t="shared" si="5"/>
        <v>0</v>
      </c>
      <c r="S36" s="107">
        <f t="shared" si="2"/>
        <v>0</v>
      </c>
      <c r="T36" s="107">
        <f t="shared" si="3"/>
        <v>0</v>
      </c>
      <c r="U36" s="107">
        <f t="shared" si="6"/>
        <v>2</v>
      </c>
      <c r="V36" s="107">
        <f t="shared" si="4"/>
        <v>0</v>
      </c>
    </row>
    <row r="37" spans="1:22" ht="57" x14ac:dyDescent="0.2">
      <c r="A37" s="4" t="str">
        <f>Questions!$A37</f>
        <v>ITAC-06</v>
      </c>
      <c r="B37" s="4" t="str">
        <f t="shared" si="0"/>
        <v>ITAC</v>
      </c>
      <c r="C37" s="4" t="str">
        <f>VLOOKUP($A37,Questions!$A$3:$L$333,2,0)&amp;""</f>
        <v>Has a VPAT or ACR been created or updated for the solution and version under consideration within the past 12 months?*</v>
      </c>
      <c r="D37" s="4" t="str">
        <f>VLOOKUP($A37,Questions!$A$3:$L$333,11,0)&amp;""</f>
        <v/>
      </c>
      <c r="E37" s="4" t="str">
        <f>VLOOKUP($A37,Questions!$A$3:$L$333,12,0)&amp;""</f>
        <v>IT Accessibility</v>
      </c>
      <c r="F37" s="4" t="str">
        <f>VLOOKUP($A37,'Institution Evaluation'!$A$56:$K$345,3,0)&amp;""</f>
        <v/>
      </c>
      <c r="G37" s="4" t="str">
        <f>VLOOKUP($A37,'Institution Evaluation'!$A$56:$K$345,7,0)&amp;""</f>
        <v>Yes</v>
      </c>
      <c r="H37" s="4" t="str">
        <f>VLOOKUP($A37,'Institution Evaluation'!$A$56:$K$345,8,0)&amp;""</f>
        <v/>
      </c>
      <c r="I37" s="4" t="str">
        <f>VLOOKUP($A37,'Institution Evaluation'!$A$56:$K$345,9,0)&amp;""</f>
        <v>Critical Importance</v>
      </c>
      <c r="J37" s="4" t="str">
        <f>VLOOKUP($A37,'Institution Evaluation'!$A$56:$K$345,10,0)&amp;""</f>
        <v/>
      </c>
      <c r="K37" s="4">
        <f>IF($I37='Auto Responses'!$J$11,20,IF($I37='Auto Responses'!$J$13,5,10))</f>
        <v>20</v>
      </c>
      <c r="L37" s="107">
        <f>IF($E37='Auto Responses'!$L$13, 'Auto Responses'!$J$5,IF(AND($D37='Auto Responses'!$J$27,$H37=""),'Auto Responses'!$J$5,IF(AND($D37='Auto Responses'!$J$27,$H37='Auto Responses'!$J$7),1,IF(AND($D37='Auto Responses'!$J$27,$H37='Auto Responses'!$J$8),0,IF(OR(AND($F37=$G37,$H37=""),$H37='Auto Responses'!$J$7),1,0)))))</f>
        <v>0</v>
      </c>
      <c r="M37" s="4" t="str">
        <f>VLOOKUP($A37,'Institution Evaluation'!$A$56:$K$345,11,0)&amp;""</f>
        <v>FALSE</v>
      </c>
      <c r="N37" s="4">
        <f>IF($J37='Auto Responses'!$J$11,1,IF(AND($J37="",$I37='Auto Responses'!$J$11),1,0))</f>
        <v>1</v>
      </c>
      <c r="O37" s="107">
        <f>IF(OR($F$18='Auto Responses'!$J$4,$E37='Auto Responses'!$L$13,$F37='Auto Responses'!$J$5),'Auto Responses'!$J$5,IF($J37="",$K37,IF($J37='Auto Responses'!$J$13,5,IF($J37='Auto Responses'!$J$12,10,IF($J37='Auto Responses'!$J$11,20,0)))))</f>
        <v>20</v>
      </c>
      <c r="P37" s="107">
        <f>IF(OR($O37='Auto Responses'!$J$5,$L37='Auto Responses'!$J$5),'Auto Responses'!$J$5,$O37*$L37)</f>
        <v>0</v>
      </c>
      <c r="Q37" s="107">
        <f t="shared" si="1"/>
        <v>0</v>
      </c>
      <c r="R37" s="107">
        <f t="shared" si="5"/>
        <v>0</v>
      </c>
      <c r="S37" s="107">
        <f t="shared" si="2"/>
        <v>0</v>
      </c>
      <c r="T37" s="107">
        <f t="shared" si="3"/>
        <v>1</v>
      </c>
      <c r="U37" s="107">
        <f t="shared" si="6"/>
        <v>3</v>
      </c>
      <c r="V37" s="107">
        <f t="shared" si="4"/>
        <v>3</v>
      </c>
    </row>
    <row r="38" spans="1:22" ht="57" x14ac:dyDescent="0.2">
      <c r="A38" s="4" t="str">
        <f>Questions!$A38</f>
        <v>ITAC-07</v>
      </c>
      <c r="B38" s="4" t="str">
        <f t="shared" si="0"/>
        <v>ITAC</v>
      </c>
      <c r="C38" s="4" t="str">
        <f>VLOOKUP($A38,Questions!$A$3:$L$333,2,0)&amp;""</f>
        <v>Will your company agree to meet your stated accessibility standard or WCAG 2.1 AA as part of your contractual agreement for the solution?*</v>
      </c>
      <c r="D38" s="4" t="str">
        <f>VLOOKUP($A38,Questions!$A$3:$L$333,11,0)&amp;""</f>
        <v/>
      </c>
      <c r="E38" s="4" t="str">
        <f>VLOOKUP($A38,Questions!$A$3:$L$333,12,0)&amp;""</f>
        <v>IT Accessibility</v>
      </c>
      <c r="F38" s="4" t="str">
        <f>VLOOKUP($A38,'Institution Evaluation'!$A$56:$K$345,3,0)&amp;""</f>
        <v/>
      </c>
      <c r="G38" s="4" t="str">
        <f>VLOOKUP($A38,'Institution Evaluation'!$A$56:$K$345,7,0)&amp;""</f>
        <v>Yes</v>
      </c>
      <c r="H38" s="4" t="str">
        <f>VLOOKUP($A38,'Institution Evaluation'!$A$56:$K$345,8,0)&amp;""</f>
        <v/>
      </c>
      <c r="I38" s="4" t="str">
        <f>VLOOKUP($A38,'Institution Evaluation'!$A$56:$K$345,9,0)&amp;""</f>
        <v>Critical Importance</v>
      </c>
      <c r="J38" s="4" t="str">
        <f>VLOOKUP($A38,'Institution Evaluation'!$A$56:$K$345,10,0)&amp;""</f>
        <v/>
      </c>
      <c r="K38" s="4">
        <f>IF($I38='Auto Responses'!$J$11,20,IF($I38='Auto Responses'!$J$13,5,10))</f>
        <v>20</v>
      </c>
      <c r="L38" s="107">
        <f>IF($E38='Auto Responses'!$L$13, 'Auto Responses'!$J$5,IF(AND($D38='Auto Responses'!$J$27,$H38=""),'Auto Responses'!$J$5,IF(AND($D38='Auto Responses'!$J$27,$H38='Auto Responses'!$J$7),1,IF(AND($D38='Auto Responses'!$J$27,$H38='Auto Responses'!$J$8),0,IF(OR(AND($F38=$G38,$H38=""),$H38='Auto Responses'!$J$7),1,0)))))</f>
        <v>0</v>
      </c>
      <c r="M38" s="4" t="str">
        <f>VLOOKUP($A38,'Institution Evaluation'!$A$56:$K$345,11,0)&amp;""</f>
        <v>FALSE</v>
      </c>
      <c r="N38" s="4">
        <f>IF($J38='Auto Responses'!$J$11,1,IF(AND($J38="",$I38='Auto Responses'!$J$11),1,0))</f>
        <v>1</v>
      </c>
      <c r="O38" s="107">
        <f>IF(OR($F$18='Auto Responses'!$J$4,$E38='Auto Responses'!$L$13,$F38='Auto Responses'!$J$5),'Auto Responses'!$J$5,IF($J38="",$K38,IF($J38='Auto Responses'!$J$13,5,IF($J38='Auto Responses'!$J$12,10,IF($J38='Auto Responses'!$J$11,20,0)))))</f>
        <v>20</v>
      </c>
      <c r="P38" s="107">
        <f>IF(OR($O38='Auto Responses'!$J$5,$L38='Auto Responses'!$J$5),'Auto Responses'!$J$5,$O38*$L38)</f>
        <v>0</v>
      </c>
      <c r="Q38" s="107">
        <f t="shared" si="1"/>
        <v>0</v>
      </c>
      <c r="R38" s="107">
        <f t="shared" si="5"/>
        <v>0</v>
      </c>
      <c r="S38" s="107">
        <f t="shared" si="2"/>
        <v>0</v>
      </c>
      <c r="T38" s="107">
        <f t="shared" si="3"/>
        <v>1</v>
      </c>
      <c r="U38" s="107">
        <f t="shared" si="6"/>
        <v>4</v>
      </c>
      <c r="V38" s="107">
        <f t="shared" si="4"/>
        <v>4</v>
      </c>
    </row>
    <row r="39" spans="1:22" ht="57" x14ac:dyDescent="0.2">
      <c r="A39" s="4" t="str">
        <f>Questions!$A39</f>
        <v>ITAC-08</v>
      </c>
      <c r="B39" s="4" t="str">
        <f t="shared" si="0"/>
        <v>ITAC</v>
      </c>
      <c r="C39" s="4" t="str">
        <f>VLOOKUP($A39,Questions!$A$3:$L$333,2,0)&amp;""</f>
        <v>Does the solution substantially conform to WCAG 2.1 AA?*</v>
      </c>
      <c r="D39" s="4" t="str">
        <f>VLOOKUP($A39,Questions!$A$3:$L$333,11,0)&amp;""</f>
        <v/>
      </c>
      <c r="E39" s="4" t="str">
        <f>VLOOKUP($A39,Questions!$A$3:$L$333,12,0)&amp;""</f>
        <v>IT Accessibility</v>
      </c>
      <c r="F39" s="4" t="str">
        <f>VLOOKUP($A39,'Institution Evaluation'!$A$56:$K$345,3,0)&amp;""</f>
        <v/>
      </c>
      <c r="G39" s="4" t="str">
        <f>VLOOKUP($A39,'Institution Evaluation'!$A$56:$K$345,7,0)&amp;""</f>
        <v>Yes</v>
      </c>
      <c r="H39" s="4" t="str">
        <f>VLOOKUP($A39,'Institution Evaluation'!$A$56:$K$345,8,0)&amp;""</f>
        <v/>
      </c>
      <c r="I39" s="4" t="str">
        <f>VLOOKUP($A39,'Institution Evaluation'!$A$56:$K$345,9,0)&amp;""</f>
        <v>Critical Importance</v>
      </c>
      <c r="J39" s="4" t="str">
        <f>VLOOKUP($A39,'Institution Evaluation'!$A$56:$K$345,10,0)&amp;""</f>
        <v/>
      </c>
      <c r="K39" s="4">
        <f>IF($I39='Auto Responses'!$J$11,20,IF($I39='Auto Responses'!$J$13,5,10))</f>
        <v>20</v>
      </c>
      <c r="L39" s="107">
        <f>IF($E39='Auto Responses'!$L$13, 'Auto Responses'!$J$5,IF(AND($D39='Auto Responses'!$J$27,$H39=""),'Auto Responses'!$J$5,IF(AND($D39='Auto Responses'!$J$27,$H39='Auto Responses'!$J$7),1,IF(AND($D39='Auto Responses'!$J$27,$H39='Auto Responses'!$J$8),0,IF(OR(AND($F39=$G39,$H39=""),$H39='Auto Responses'!$J$7),1,0)))))</f>
        <v>0</v>
      </c>
      <c r="M39" s="4" t="str">
        <f>VLOOKUP($A39,'Institution Evaluation'!$A$56:$K$345,11,0)&amp;""</f>
        <v>FALSE</v>
      </c>
      <c r="N39" s="4">
        <f>IF($J39='Auto Responses'!$J$11,1,IF(AND($J39="",$I39='Auto Responses'!$J$11),1,0))</f>
        <v>1</v>
      </c>
      <c r="O39" s="107">
        <f>IF(OR($F$18='Auto Responses'!$J$4,$E39='Auto Responses'!$L$13,$F39='Auto Responses'!$J$5),'Auto Responses'!$J$5,IF($J39="",$K39,IF($J39='Auto Responses'!$J$13,5,IF($J39='Auto Responses'!$J$12,10,IF($J39='Auto Responses'!$J$11,20,0)))))</f>
        <v>20</v>
      </c>
      <c r="P39" s="107">
        <f>IF(OR($O39='Auto Responses'!$J$5,$L39='Auto Responses'!$J$5),'Auto Responses'!$J$5,$O39*$L39)</f>
        <v>0</v>
      </c>
      <c r="Q39" s="107">
        <f t="shared" si="1"/>
        <v>0</v>
      </c>
      <c r="R39" s="107">
        <f t="shared" si="5"/>
        <v>0</v>
      </c>
      <c r="S39" s="107">
        <f t="shared" si="2"/>
        <v>0</v>
      </c>
      <c r="T39" s="107">
        <f t="shared" si="3"/>
        <v>1</v>
      </c>
      <c r="U39" s="107">
        <f t="shared" si="6"/>
        <v>5</v>
      </c>
      <c r="V39" s="107">
        <f t="shared" si="4"/>
        <v>5</v>
      </c>
    </row>
    <row r="40" spans="1:22" ht="57" x14ac:dyDescent="0.2">
      <c r="A40" s="4" t="str">
        <f>Questions!$A40</f>
        <v>ITAC-09</v>
      </c>
      <c r="B40" s="4" t="str">
        <f t="shared" si="0"/>
        <v>ITAC</v>
      </c>
      <c r="C40" s="4" t="str">
        <f>VLOOKUP($A40,Questions!$A$3:$L$333,2,0)&amp;""</f>
        <v>Do you have a documented and implemented process for reporting and tracking accessibility issues?*</v>
      </c>
      <c r="D40" s="4" t="str">
        <f>VLOOKUP($A40,Questions!$A$3:$L$333,11,0)&amp;""</f>
        <v/>
      </c>
      <c r="E40" s="4" t="str">
        <f>VLOOKUP($A40,Questions!$A$3:$L$333,12,0)&amp;""</f>
        <v>IT Accessibility</v>
      </c>
      <c r="F40" s="4" t="str">
        <f>VLOOKUP($A40,'Institution Evaluation'!$A$56:$K$345,3,0)&amp;""</f>
        <v/>
      </c>
      <c r="G40" s="4" t="str">
        <f>VLOOKUP($A40,'Institution Evaluation'!$A$56:$K$345,7,0)&amp;""</f>
        <v>Yes</v>
      </c>
      <c r="H40" s="4" t="str">
        <f>VLOOKUP($A40,'Institution Evaluation'!$A$56:$K$345,8,0)&amp;""</f>
        <v/>
      </c>
      <c r="I40" s="4" t="str">
        <f>VLOOKUP($A40,'Institution Evaluation'!$A$56:$K$345,9,0)&amp;""</f>
        <v>Critical Importance</v>
      </c>
      <c r="J40" s="4" t="str">
        <f>VLOOKUP($A40,'Institution Evaluation'!$A$56:$K$345,10,0)&amp;""</f>
        <v/>
      </c>
      <c r="K40" s="4">
        <f>IF($I40='Auto Responses'!$J$11,20,IF($I40='Auto Responses'!$J$13,5,10))</f>
        <v>20</v>
      </c>
      <c r="L40" s="107">
        <f>IF($E40='Auto Responses'!$L$13, 'Auto Responses'!$J$5,IF(AND($D40='Auto Responses'!$J$27,$H40=""),'Auto Responses'!$J$5,IF(AND($D40='Auto Responses'!$J$27,$H40='Auto Responses'!$J$7),1,IF(AND($D40='Auto Responses'!$J$27,$H40='Auto Responses'!$J$8),0,IF(OR(AND($F40=$G40,$H40=""),$H40='Auto Responses'!$J$7),1,0)))))</f>
        <v>0</v>
      </c>
      <c r="M40" s="4" t="str">
        <f>VLOOKUP($A40,'Institution Evaluation'!$A$56:$K$345,11,0)&amp;""</f>
        <v>FALSE</v>
      </c>
      <c r="N40" s="4">
        <f>IF($J40='Auto Responses'!$J$11,1,IF(AND($J40="",$I40='Auto Responses'!$J$11),1,0))</f>
        <v>1</v>
      </c>
      <c r="O40" s="107">
        <f>IF(OR($F$18='Auto Responses'!$J$4,$E40='Auto Responses'!$L$13,$F40='Auto Responses'!$J$5),'Auto Responses'!$J$5,IF($J40="",$K40,IF($J40='Auto Responses'!$J$13,5,IF($J40='Auto Responses'!$J$12,10,IF($J40='Auto Responses'!$J$11,20,0)))))</f>
        <v>20</v>
      </c>
      <c r="P40" s="107">
        <f>IF(OR($O40='Auto Responses'!$J$5,$L40='Auto Responses'!$J$5),'Auto Responses'!$J$5,$O40*$L40)</f>
        <v>0</v>
      </c>
      <c r="Q40" s="107">
        <f t="shared" si="1"/>
        <v>0</v>
      </c>
      <c r="R40" s="107">
        <f t="shared" si="5"/>
        <v>0</v>
      </c>
      <c r="S40" s="107">
        <f t="shared" si="2"/>
        <v>0</v>
      </c>
      <c r="T40" s="107">
        <f t="shared" si="3"/>
        <v>1</v>
      </c>
      <c r="U40" s="107">
        <f t="shared" si="6"/>
        <v>6</v>
      </c>
      <c r="V40" s="107">
        <f t="shared" si="4"/>
        <v>6</v>
      </c>
    </row>
    <row r="41" spans="1:22" ht="57" x14ac:dyDescent="0.2">
      <c r="A41" s="4" t="str">
        <f>Questions!$A41</f>
        <v>ITAC-10</v>
      </c>
      <c r="B41" s="4" t="str">
        <f t="shared" si="0"/>
        <v>ITAC</v>
      </c>
      <c r="C41" s="4" t="str">
        <f>VLOOKUP($A41,Questions!$A$3:$L$333,2,0)&amp;""</f>
        <v>Do you have documentation to support the accessibility features of your solution?</v>
      </c>
      <c r="D41" s="4" t="str">
        <f>VLOOKUP($A41,Questions!$A$3:$L$333,11,0)&amp;""</f>
        <v/>
      </c>
      <c r="E41" s="4" t="str">
        <f>VLOOKUP($A41,Questions!$A$3:$L$333,12,0)&amp;""</f>
        <v>IT Accessibility</v>
      </c>
      <c r="F41" s="4" t="str">
        <f>VLOOKUP($A41,'Institution Evaluation'!$A$56:$K$345,3,0)&amp;""</f>
        <v/>
      </c>
      <c r="G41" s="4" t="str">
        <f>VLOOKUP($A41,'Institution Evaluation'!$A$56:$K$345,7,0)&amp;""</f>
        <v>Yes</v>
      </c>
      <c r="H41" s="4" t="str">
        <f>VLOOKUP($A41,'Institution Evaluation'!$A$56:$K$345,8,0)&amp;""</f>
        <v/>
      </c>
      <c r="I41" s="4" t="str">
        <f>VLOOKUP($A41,'Institution Evaluation'!$A$56:$K$345,9,0)&amp;""</f>
        <v>Standard Importance</v>
      </c>
      <c r="J41" s="4" t="str">
        <f>VLOOKUP($A41,'Institution Evaluation'!$A$56:$K$345,10,0)&amp;""</f>
        <v/>
      </c>
      <c r="K41" s="4">
        <f>IF($I41='Auto Responses'!$J$11,20,IF($I41='Auto Responses'!$J$13,5,10))</f>
        <v>10</v>
      </c>
      <c r="L41" s="107">
        <f>IF($E41='Auto Responses'!$L$13, 'Auto Responses'!$J$5,IF(AND($D41='Auto Responses'!$J$27,$H41=""),'Auto Responses'!$J$5,IF(AND($D41='Auto Responses'!$J$27,$H41='Auto Responses'!$J$7),1,IF(AND($D41='Auto Responses'!$J$27,$H41='Auto Responses'!$J$8),0,IF(OR(AND($F41=$G41,$H41=""),$H41='Auto Responses'!$J$7),1,0)))))</f>
        <v>0</v>
      </c>
      <c r="M41" s="4" t="str">
        <f>VLOOKUP($A41,'Institution Evaluation'!$A$56:$K$345,11,0)&amp;""</f>
        <v>FALSE</v>
      </c>
      <c r="N41" s="4">
        <f>IF($J41='Auto Responses'!$J$11,1,IF(AND($J41="",$I41='Auto Responses'!$J$11),1,0))</f>
        <v>0</v>
      </c>
      <c r="O41" s="107">
        <f>IF(OR($F$18='Auto Responses'!$J$4,$E41='Auto Responses'!$L$13,$F41='Auto Responses'!$J$5),'Auto Responses'!$J$5,IF($J41="",$K41,IF($J41='Auto Responses'!$J$13,5,IF($J41='Auto Responses'!$J$12,10,IF($J41='Auto Responses'!$J$11,20,0)))))</f>
        <v>10</v>
      </c>
      <c r="P41" s="107">
        <f>IF(OR($O41='Auto Responses'!$J$5,$L41='Auto Responses'!$J$5),'Auto Responses'!$J$5,$O41*$L41)</f>
        <v>0</v>
      </c>
      <c r="Q41" s="107">
        <f t="shared" si="1"/>
        <v>0</v>
      </c>
      <c r="R41" s="107">
        <f t="shared" si="5"/>
        <v>0</v>
      </c>
      <c r="S41" s="107">
        <f t="shared" si="2"/>
        <v>0</v>
      </c>
      <c r="T41" s="107">
        <f t="shared" si="3"/>
        <v>0</v>
      </c>
      <c r="U41" s="107">
        <f t="shared" si="6"/>
        <v>6</v>
      </c>
      <c r="V41" s="107">
        <f t="shared" si="4"/>
        <v>0</v>
      </c>
    </row>
    <row r="42" spans="1:22" ht="57" x14ac:dyDescent="0.2">
      <c r="A42" s="4" t="str">
        <f>Questions!$A42</f>
        <v>ITAC-11</v>
      </c>
      <c r="B42" s="4" t="str">
        <f t="shared" si="0"/>
        <v>ITAC</v>
      </c>
      <c r="C42" s="4" t="str">
        <f>VLOOKUP($A42,Questions!$A$3:$L$333,2,0)&amp;""</f>
        <v>Has a third-party expert conducted an audit of the most recent version of your solution?</v>
      </c>
      <c r="D42" s="4"/>
      <c r="E42" s="4" t="str">
        <f>VLOOKUP($A42,Questions!$A$3:$L$333,12,0)&amp;""</f>
        <v>IT Accessibility</v>
      </c>
      <c r="F42" s="4" t="str">
        <f>VLOOKUP($A42,'Institution Evaluation'!$A$56:$K$345,3,0)&amp;""</f>
        <v/>
      </c>
      <c r="G42" s="4" t="str">
        <f>VLOOKUP($A42,'Institution Evaluation'!$A$56:$K$345,7,0)&amp;""</f>
        <v>Yes</v>
      </c>
      <c r="H42" s="4" t="str">
        <f>VLOOKUP($A42,'Institution Evaluation'!$A$56:$K$345,8,0)&amp;""</f>
        <v/>
      </c>
      <c r="I42" s="4" t="str">
        <f>VLOOKUP($A42,'Institution Evaluation'!$A$56:$K$345,9,0)&amp;""</f>
        <v>Standard Importance</v>
      </c>
      <c r="J42" s="4" t="str">
        <f>VLOOKUP($A42,'Institution Evaluation'!$A$56:$K$345,10,0)&amp;""</f>
        <v/>
      </c>
      <c r="K42" s="4">
        <f>IF($I42='Auto Responses'!$J$11,20,IF($I42='Auto Responses'!$J$13,5,10))</f>
        <v>10</v>
      </c>
      <c r="L42" s="107">
        <f>IF($E42='Auto Responses'!$L$13, 'Auto Responses'!$J$5,IF(AND($D42='Auto Responses'!$J$27,$H42=""),'Auto Responses'!$J$5,IF(AND($D42='Auto Responses'!$J$27,$H42='Auto Responses'!$J$7),1,IF(AND($D42='Auto Responses'!$J$27,$H42='Auto Responses'!$J$8),0,IF(OR(AND($F42=$G42,$H42=""),$H42='Auto Responses'!$J$7),1,0)))))</f>
        <v>0</v>
      </c>
      <c r="M42" s="4" t="str">
        <f>VLOOKUP($A42,'Institution Evaluation'!$A$56:$K$345,11,0)&amp;""</f>
        <v>FALSE</v>
      </c>
      <c r="N42" s="4">
        <f>IF($J42='Auto Responses'!$J$11,1,IF(AND($J42="",$I42='Auto Responses'!$J$11),1,0))</f>
        <v>0</v>
      </c>
      <c r="O42" s="107">
        <f>IF(OR($F$18='Auto Responses'!$J$4,$E42='Auto Responses'!$L$13,$F42='Auto Responses'!$J$5),'Auto Responses'!$J$5,IF($J42="",$K42,IF($J42='Auto Responses'!$J$13,5,IF($J42='Auto Responses'!$J$12,10,IF($J42='Auto Responses'!$J$11,20,0)))))</f>
        <v>10</v>
      </c>
      <c r="P42" s="107">
        <f>IF(OR($O42='Auto Responses'!$J$5,$L42='Auto Responses'!$J$5),'Auto Responses'!$J$5,$O42*$L42)</f>
        <v>0</v>
      </c>
      <c r="Q42" s="107">
        <f t="shared" si="1"/>
        <v>0</v>
      </c>
      <c r="R42" s="107">
        <f t="shared" si="5"/>
        <v>0</v>
      </c>
      <c r="S42" s="107">
        <f t="shared" si="2"/>
        <v>0</v>
      </c>
      <c r="T42" s="107">
        <f t="shared" si="3"/>
        <v>0</v>
      </c>
      <c r="U42" s="107">
        <f t="shared" si="6"/>
        <v>6</v>
      </c>
      <c r="V42" s="107">
        <f t="shared" si="4"/>
        <v>0</v>
      </c>
    </row>
    <row r="43" spans="1:22" ht="57" x14ac:dyDescent="0.2">
      <c r="A43" s="4" t="str">
        <f>Questions!$A43</f>
        <v>ITAC-12</v>
      </c>
      <c r="B43" s="4" t="str">
        <f t="shared" si="0"/>
        <v>ITAC</v>
      </c>
      <c r="C43" s="4" t="str">
        <f>VLOOKUP($A43,Questions!$A$3:$L$333,2,0)&amp;""</f>
        <v>Do you have a documented and implemented process for verifying accessibility conformance?</v>
      </c>
      <c r="D43" s="4" t="str">
        <f>VLOOKUP($A43,Questions!$A$3:$L$333,11,0)&amp;""</f>
        <v/>
      </c>
      <c r="E43" s="4" t="str">
        <f>VLOOKUP($A43,Questions!$A$3:$L$333,12,0)&amp;""</f>
        <v>IT Accessibility</v>
      </c>
      <c r="F43" s="4" t="str">
        <f>VLOOKUP($A43,'Institution Evaluation'!$A$56:$K$345,3,0)&amp;""</f>
        <v/>
      </c>
      <c r="G43" s="4" t="str">
        <f>VLOOKUP($A43,'Institution Evaluation'!$A$56:$K$345,7,0)&amp;""</f>
        <v>Yes</v>
      </c>
      <c r="H43" s="4" t="str">
        <f>VLOOKUP($A43,'Institution Evaluation'!$A$56:$K$345,8,0)&amp;""</f>
        <v/>
      </c>
      <c r="I43" s="4" t="str">
        <f>VLOOKUP($A43,'Institution Evaluation'!$A$56:$K$345,9,0)&amp;""</f>
        <v>Standard Importance</v>
      </c>
      <c r="J43" s="4" t="str">
        <f>VLOOKUP($A43,'Institution Evaluation'!$A$56:$K$345,10,0)&amp;""</f>
        <v/>
      </c>
      <c r="K43" s="4">
        <f>IF($I43='Auto Responses'!$J$11,20,IF($I43='Auto Responses'!$J$13,5,10))</f>
        <v>10</v>
      </c>
      <c r="L43" s="107">
        <f>IF($E43='Auto Responses'!$L$13, 'Auto Responses'!$J$5,IF(AND($D43='Auto Responses'!$J$27,$H43=""),'Auto Responses'!$J$5,IF(AND($D43='Auto Responses'!$J$27,$H43='Auto Responses'!$J$7),1,IF(AND($D43='Auto Responses'!$J$27,$H43='Auto Responses'!$J$8),0,IF(OR(AND($F43=$G43,$H43=""),$H43='Auto Responses'!$J$7),1,0)))))</f>
        <v>0</v>
      </c>
      <c r="M43" s="4" t="str">
        <f>VLOOKUP($A43,'Institution Evaluation'!$A$56:$K$345,11,0)&amp;""</f>
        <v>FALSE</v>
      </c>
      <c r="N43" s="4">
        <f>IF($J43='Auto Responses'!$J$11,1,IF(AND($J43="",$I43='Auto Responses'!$J$11),1,0))</f>
        <v>0</v>
      </c>
      <c r="O43" s="107">
        <f>IF(OR($F$18='Auto Responses'!$J$4,$E43='Auto Responses'!$L$13,$F43='Auto Responses'!$J$5),'Auto Responses'!$J$5,IF($J43="",$K43,IF($J43='Auto Responses'!$J$13,5,IF($J43='Auto Responses'!$J$12,10,IF($J43='Auto Responses'!$J$11,20,0)))))</f>
        <v>10</v>
      </c>
      <c r="P43" s="107">
        <f>IF(OR($O43='Auto Responses'!$J$5,$L43='Auto Responses'!$J$5),'Auto Responses'!$J$5,$O43*$L43)</f>
        <v>0</v>
      </c>
      <c r="Q43" s="107">
        <f t="shared" si="1"/>
        <v>0</v>
      </c>
      <c r="R43" s="107">
        <f t="shared" si="5"/>
        <v>0</v>
      </c>
      <c r="S43" s="107">
        <f t="shared" si="2"/>
        <v>0</v>
      </c>
      <c r="T43" s="107">
        <f t="shared" si="3"/>
        <v>0</v>
      </c>
      <c r="U43" s="107">
        <f t="shared" si="6"/>
        <v>6</v>
      </c>
      <c r="V43" s="107">
        <f t="shared" si="4"/>
        <v>0</v>
      </c>
    </row>
    <row r="44" spans="1:22" ht="57" x14ac:dyDescent="0.2">
      <c r="A44" s="4" t="str">
        <f>Questions!$A44</f>
        <v>ITAC-13</v>
      </c>
      <c r="B44" s="4" t="str">
        <f t="shared" si="0"/>
        <v>ITAC</v>
      </c>
      <c r="C44" s="4" t="str">
        <f>VLOOKUP($A44,Questions!$A$3:$L$333,2,0)&amp;""</f>
        <v>Have you adopted a technical or legal standard of conformance for the solution?</v>
      </c>
      <c r="D44" s="4" t="str">
        <f>VLOOKUP($A44,Questions!$A$3:$L$333,11,0)&amp;""</f>
        <v/>
      </c>
      <c r="E44" s="4" t="str">
        <f>VLOOKUP($A44,Questions!$A$3:$L$333,12,0)&amp;""</f>
        <v>IT Accessibility</v>
      </c>
      <c r="F44" s="4" t="str">
        <f>VLOOKUP($A44,'Institution Evaluation'!$A$56:$K$345,3,0)&amp;""</f>
        <v/>
      </c>
      <c r="G44" s="4" t="str">
        <f>VLOOKUP($A44,'Institution Evaluation'!$A$56:$K$345,7,0)&amp;""</f>
        <v>Yes</v>
      </c>
      <c r="H44" s="4" t="str">
        <f>VLOOKUP($A44,'Institution Evaluation'!$A$56:$K$345,8,0)&amp;""</f>
        <v/>
      </c>
      <c r="I44" s="4" t="str">
        <f>VLOOKUP($A44,'Institution Evaluation'!$A$56:$K$345,9,0)&amp;""</f>
        <v>Standard Importance</v>
      </c>
      <c r="J44" s="4" t="str">
        <f>VLOOKUP($A44,'Institution Evaluation'!$A$56:$K$345,10,0)&amp;""</f>
        <v/>
      </c>
      <c r="K44" s="4">
        <f>IF($I44='Auto Responses'!$J$11,20,IF($I44='Auto Responses'!$J$13,5,10))</f>
        <v>10</v>
      </c>
      <c r="L44" s="107">
        <f>IF($E44='Auto Responses'!$L$13, 'Auto Responses'!$J$5,IF(AND($D44='Auto Responses'!$J$27,$H44=""),'Auto Responses'!$J$5,IF(AND($D44='Auto Responses'!$J$27,$H44='Auto Responses'!$J$7),1,IF(AND($D44='Auto Responses'!$J$27,$H44='Auto Responses'!$J$8),0,IF(OR(AND($F44=$G44,$H44=""),$H44='Auto Responses'!$J$7),1,0)))))</f>
        <v>0</v>
      </c>
      <c r="M44" s="4" t="str">
        <f>VLOOKUP($A44,'Institution Evaluation'!$A$56:$K$345,11,0)&amp;""</f>
        <v>FALSE</v>
      </c>
      <c r="N44" s="4">
        <f>IF($J44='Auto Responses'!$J$11,1,IF(AND($J44="",$I44='Auto Responses'!$J$11),1,0))</f>
        <v>0</v>
      </c>
      <c r="O44" s="107">
        <f>IF(OR($F$18='Auto Responses'!$J$4,$E44='Auto Responses'!$L$13,$F44='Auto Responses'!$J$5),'Auto Responses'!$J$5,IF($J44="",$K44,IF($J44='Auto Responses'!$J$13,5,IF($J44='Auto Responses'!$J$12,10,IF($J44='Auto Responses'!$J$11,20,0)))))</f>
        <v>10</v>
      </c>
      <c r="P44" s="107">
        <f>IF(OR($O44='Auto Responses'!$J$5,$L44='Auto Responses'!$J$5),'Auto Responses'!$J$5,$O44*$L44)</f>
        <v>0</v>
      </c>
      <c r="Q44" s="107">
        <f t="shared" si="1"/>
        <v>0</v>
      </c>
      <c r="R44" s="107">
        <f t="shared" si="5"/>
        <v>0</v>
      </c>
      <c r="S44" s="107">
        <f t="shared" si="2"/>
        <v>0</v>
      </c>
      <c r="T44" s="107">
        <f t="shared" si="3"/>
        <v>0</v>
      </c>
      <c r="U44" s="107">
        <f t="shared" si="6"/>
        <v>6</v>
      </c>
      <c r="V44" s="107">
        <f t="shared" si="4"/>
        <v>0</v>
      </c>
    </row>
    <row r="45" spans="1:22" ht="57" x14ac:dyDescent="0.2">
      <c r="A45" s="4" t="str">
        <f>Questions!$A45</f>
        <v>ITAC-14</v>
      </c>
      <c r="B45" s="4" t="str">
        <f t="shared" si="0"/>
        <v>ITAC</v>
      </c>
      <c r="C45" s="4" t="str">
        <f>VLOOKUP($A45,Questions!$A$3:$L$333,2,0)&amp;""</f>
        <v>Can you provide a current, detailed accessibility roadmap with delivery timelines?</v>
      </c>
      <c r="D45" s="4" t="str">
        <f>VLOOKUP($A45,Questions!$A$3:$L$333,11,0)&amp;""</f>
        <v/>
      </c>
      <c r="E45" s="4" t="str">
        <f>VLOOKUP($A45,Questions!$A$3:$L$333,12,0)&amp;""</f>
        <v>IT Accessibility</v>
      </c>
      <c r="F45" s="4" t="str">
        <f>VLOOKUP($A45,'Institution Evaluation'!$A$56:$K$345,3,0)&amp;""</f>
        <v/>
      </c>
      <c r="G45" s="4" t="str">
        <f>VLOOKUP($A45,'Institution Evaluation'!$A$56:$K$345,7,0)&amp;""</f>
        <v>Yes</v>
      </c>
      <c r="H45" s="4" t="str">
        <f>VLOOKUP($A45,'Institution Evaluation'!$A$56:$K$345,8,0)&amp;""</f>
        <v/>
      </c>
      <c r="I45" s="4" t="str">
        <f>VLOOKUP($A45,'Institution Evaluation'!$A$56:$K$345,9,0)&amp;""</f>
        <v>Standard Importance</v>
      </c>
      <c r="J45" s="4" t="str">
        <f>VLOOKUP($A45,'Institution Evaluation'!$A$56:$K$345,10,0)&amp;""</f>
        <v/>
      </c>
      <c r="K45" s="4">
        <f>IF($I45='Auto Responses'!$J$11,20,IF($I45='Auto Responses'!$J$13,5,10))</f>
        <v>10</v>
      </c>
      <c r="L45" s="107">
        <f>IF($E45='Auto Responses'!$L$13, 'Auto Responses'!$J$5,IF(AND($D45='Auto Responses'!$J$27,$H45=""),'Auto Responses'!$J$5,IF(AND($D45='Auto Responses'!$J$27,$H45='Auto Responses'!$J$7),1,IF(AND($D45='Auto Responses'!$J$27,$H45='Auto Responses'!$J$8),0,IF(OR(AND($F45=$G45,$H45=""),$H45='Auto Responses'!$J$7),1,0)))))</f>
        <v>0</v>
      </c>
      <c r="M45" s="4" t="str">
        <f>VLOOKUP($A45,'Institution Evaluation'!$A$56:$K$345,11,0)&amp;""</f>
        <v>FALSE</v>
      </c>
      <c r="N45" s="4">
        <f>IF($J45='Auto Responses'!$J$11,1,IF(AND($J45="",$I45='Auto Responses'!$J$11),1,0))</f>
        <v>0</v>
      </c>
      <c r="O45" s="107">
        <f>IF(OR($F$18='Auto Responses'!$J$4,$E45='Auto Responses'!$L$13,$F45='Auto Responses'!$J$5),'Auto Responses'!$J$5,IF($J45="",$K45,IF($J45='Auto Responses'!$J$13,5,IF($J45='Auto Responses'!$J$12,10,IF($J45='Auto Responses'!$J$11,20,0)))))</f>
        <v>10</v>
      </c>
      <c r="P45" s="107">
        <f>IF(OR($O45='Auto Responses'!$J$5,$L45='Auto Responses'!$J$5),'Auto Responses'!$J$5,$O45*$L45)</f>
        <v>0</v>
      </c>
      <c r="Q45" s="107">
        <f t="shared" si="1"/>
        <v>0</v>
      </c>
      <c r="R45" s="107">
        <f t="shared" si="5"/>
        <v>0</v>
      </c>
      <c r="S45" s="107">
        <f t="shared" si="2"/>
        <v>0</v>
      </c>
      <c r="T45" s="107">
        <f t="shared" si="3"/>
        <v>0</v>
      </c>
      <c r="U45" s="107">
        <f t="shared" si="6"/>
        <v>6</v>
      </c>
      <c r="V45" s="107">
        <f t="shared" si="4"/>
        <v>0</v>
      </c>
    </row>
    <row r="46" spans="1:22" ht="57" x14ac:dyDescent="0.2">
      <c r="A46" s="4" t="str">
        <f>Questions!$A46</f>
        <v>ITAC-15</v>
      </c>
      <c r="B46" s="4" t="str">
        <f t="shared" si="0"/>
        <v>ITAC</v>
      </c>
      <c r="C46" s="4" t="str">
        <f>VLOOKUP($A46,Questions!$A$3:$L$333,2,0)&amp;""</f>
        <v>Do you expect your staff to maintain a current skill set in IT accessibility?</v>
      </c>
      <c r="D46" s="4" t="str">
        <f>VLOOKUP($A46,Questions!$A$3:$L$333,11,0)&amp;""</f>
        <v/>
      </c>
      <c r="E46" s="4" t="str">
        <f>VLOOKUP($A46,Questions!$A$3:$L$333,12,0)&amp;""</f>
        <v>IT Accessibility</v>
      </c>
      <c r="F46" s="4" t="str">
        <f>VLOOKUP($A46,'Institution Evaluation'!$A$56:$K$345,3,0)&amp;""</f>
        <v/>
      </c>
      <c r="G46" s="4" t="str">
        <f>VLOOKUP($A46,'Institution Evaluation'!$A$56:$K$345,7,0)&amp;""</f>
        <v>Yes</v>
      </c>
      <c r="H46" s="4" t="str">
        <f>VLOOKUP($A46,'Institution Evaluation'!$A$56:$K$345,8,0)&amp;""</f>
        <v/>
      </c>
      <c r="I46" s="4" t="str">
        <f>VLOOKUP($A46,'Institution Evaluation'!$A$56:$K$345,9,0)&amp;""</f>
        <v>Standard Importance</v>
      </c>
      <c r="J46" s="4" t="str">
        <f>VLOOKUP($A46,'Institution Evaluation'!$A$56:$K$345,10,0)&amp;""</f>
        <v/>
      </c>
      <c r="K46" s="4">
        <f>IF($I46='Auto Responses'!$J$11,20,IF($I46='Auto Responses'!$J$13,5,10))</f>
        <v>10</v>
      </c>
      <c r="L46" s="107">
        <f>IF($E46='Auto Responses'!$L$13, 'Auto Responses'!$J$5,IF(AND($D46='Auto Responses'!$J$27,$H46=""),'Auto Responses'!$J$5,IF(AND($D46='Auto Responses'!$J$27,$H46='Auto Responses'!$J$7),1,IF(AND($D46='Auto Responses'!$J$27,$H46='Auto Responses'!$J$8),0,IF(OR(AND($F46=$G46,$H46=""),$H46='Auto Responses'!$J$7),1,0)))))</f>
        <v>0</v>
      </c>
      <c r="M46" s="4" t="str">
        <f>VLOOKUP($A46,'Institution Evaluation'!$A$56:$K$345,11,0)&amp;""</f>
        <v>FALSE</v>
      </c>
      <c r="N46" s="4">
        <f>IF($J46='Auto Responses'!$J$11,1,IF(AND($J46="",$I46='Auto Responses'!$J$11),1,0))</f>
        <v>0</v>
      </c>
      <c r="O46" s="107">
        <f>IF(OR($F$18='Auto Responses'!$J$4,$E46='Auto Responses'!$L$13,$F46='Auto Responses'!$J$5),'Auto Responses'!$J$5,IF($J46="",$K46,IF($J46='Auto Responses'!$J$13,5,IF($J46='Auto Responses'!$J$12,10,IF($J46='Auto Responses'!$J$11,20,0)))))</f>
        <v>10</v>
      </c>
      <c r="P46" s="107">
        <f>IF(OR($O46='Auto Responses'!$J$5,$L46='Auto Responses'!$J$5),'Auto Responses'!$J$5,$O46*$L46)</f>
        <v>0</v>
      </c>
      <c r="Q46" s="107">
        <f t="shared" si="1"/>
        <v>0</v>
      </c>
      <c r="R46" s="107">
        <f t="shared" si="5"/>
        <v>0</v>
      </c>
      <c r="S46" s="107">
        <f t="shared" si="2"/>
        <v>0</v>
      </c>
      <c r="T46" s="107">
        <f t="shared" si="3"/>
        <v>0</v>
      </c>
      <c r="U46" s="107">
        <f t="shared" si="6"/>
        <v>6</v>
      </c>
      <c r="V46" s="107">
        <f t="shared" si="4"/>
        <v>0</v>
      </c>
    </row>
    <row r="47" spans="1:22" ht="57" x14ac:dyDescent="0.2">
      <c r="A47" s="4" t="str">
        <f>Questions!$A47</f>
        <v>ITAC-16</v>
      </c>
      <c r="B47" s="4" t="str">
        <f t="shared" si="0"/>
        <v>ITAC</v>
      </c>
      <c r="C47" s="4" t="str">
        <f>VLOOKUP($A47,Questions!$A$3:$L$333,2,0)&amp;""</f>
        <v>Do you have documented processes and procedures for implementing accessibility into your development lifecycle?</v>
      </c>
      <c r="D47" s="4" t="str">
        <f>VLOOKUP($A47,Questions!$A$3:$L$333,11,0)&amp;""</f>
        <v/>
      </c>
      <c r="E47" s="4" t="str">
        <f>VLOOKUP($A47,Questions!$A$3:$L$333,12,0)&amp;""</f>
        <v>IT Accessibility</v>
      </c>
      <c r="F47" s="4" t="str">
        <f>VLOOKUP($A47,'Institution Evaluation'!$A$56:$K$345,3,0)&amp;""</f>
        <v/>
      </c>
      <c r="G47" s="4" t="str">
        <f>VLOOKUP($A47,'Institution Evaluation'!$A$56:$K$345,7,0)&amp;""</f>
        <v>Yes</v>
      </c>
      <c r="H47" s="4" t="str">
        <f>VLOOKUP($A47,'Institution Evaluation'!$A$56:$K$345,8,0)&amp;""</f>
        <v/>
      </c>
      <c r="I47" s="4" t="str">
        <f>VLOOKUP($A47,'Institution Evaluation'!$A$56:$K$345,9,0)&amp;""</f>
        <v>Standard Importance</v>
      </c>
      <c r="J47" s="4" t="str">
        <f>VLOOKUP($A47,'Institution Evaluation'!$A$56:$K$345,10,0)&amp;""</f>
        <v/>
      </c>
      <c r="K47" s="4">
        <f>IF($I47='Auto Responses'!$J$11,20,IF($I47='Auto Responses'!$J$13,5,10))</f>
        <v>10</v>
      </c>
      <c r="L47" s="107">
        <f>IF($E47='Auto Responses'!$L$13, 'Auto Responses'!$J$5,IF(AND($D47='Auto Responses'!$J$27,$H47=""),'Auto Responses'!$J$5,IF(AND($D47='Auto Responses'!$J$27,$H47='Auto Responses'!$J$7),1,IF(AND($D47='Auto Responses'!$J$27,$H47='Auto Responses'!$J$8),0,IF(OR(AND($F47=$G47,$H47=""),$H47='Auto Responses'!$J$7),1,0)))))</f>
        <v>0</v>
      </c>
      <c r="M47" s="4" t="str">
        <f>VLOOKUP($A47,'Institution Evaluation'!$A$56:$K$345,11,0)&amp;""</f>
        <v>FALSE</v>
      </c>
      <c r="N47" s="4">
        <f>IF($J47='Auto Responses'!$J$11,1,IF(AND($J47="",$I47='Auto Responses'!$J$11),1,0))</f>
        <v>0</v>
      </c>
      <c r="O47" s="107">
        <f>IF(OR($F$18='Auto Responses'!$J$4,$E47='Auto Responses'!$L$13,$F47='Auto Responses'!$J$5),'Auto Responses'!$J$5,IF($J47="",$K47,IF($J47='Auto Responses'!$J$13,5,IF($J47='Auto Responses'!$J$12,10,IF($J47='Auto Responses'!$J$11,20,0)))))</f>
        <v>10</v>
      </c>
      <c r="P47" s="107">
        <f>IF(OR($O47='Auto Responses'!$J$5,$L47='Auto Responses'!$J$5),'Auto Responses'!$J$5,$O47*$L47)</f>
        <v>0</v>
      </c>
      <c r="Q47" s="107">
        <f t="shared" si="1"/>
        <v>0</v>
      </c>
      <c r="R47" s="107">
        <f t="shared" si="5"/>
        <v>0</v>
      </c>
      <c r="S47" s="107">
        <f t="shared" si="2"/>
        <v>0</v>
      </c>
      <c r="T47" s="107">
        <f t="shared" si="3"/>
        <v>0</v>
      </c>
      <c r="U47" s="107">
        <f t="shared" si="6"/>
        <v>6</v>
      </c>
      <c r="V47" s="107">
        <f t="shared" si="4"/>
        <v>0</v>
      </c>
    </row>
    <row r="48" spans="1:22" ht="57" x14ac:dyDescent="0.2">
      <c r="A48" s="4" t="str">
        <f>Questions!$A48</f>
        <v>ITAC-17</v>
      </c>
      <c r="B48" s="4" t="str">
        <f t="shared" si="0"/>
        <v>ITAC</v>
      </c>
      <c r="C48" s="4" t="str">
        <f>VLOOKUP($A48,Questions!$A$3:$L$333,2,0)&amp;""</f>
        <v>Can all functions of the application or service be performed using only the keyboard?</v>
      </c>
      <c r="D48" s="4" t="str">
        <f>VLOOKUP($A48,Questions!$A$3:$L$333,11,0)&amp;""</f>
        <v/>
      </c>
      <c r="E48" s="4" t="str">
        <f>VLOOKUP($A48,Questions!$A$3:$L$333,12,0)&amp;""</f>
        <v>IT Accessibility</v>
      </c>
      <c r="F48" s="4" t="str">
        <f>VLOOKUP($A48,'Institution Evaluation'!$A$56:$K$345,3,0)&amp;""</f>
        <v/>
      </c>
      <c r="G48" s="4" t="str">
        <f>VLOOKUP($A48,'Institution Evaluation'!$A$56:$K$345,7,0)&amp;""</f>
        <v>Yes</v>
      </c>
      <c r="H48" s="4" t="str">
        <f>VLOOKUP($A48,'Institution Evaluation'!$A$56:$K$345,8,0)&amp;""</f>
        <v/>
      </c>
      <c r="I48" s="4" t="str">
        <f>VLOOKUP($A48,'Institution Evaluation'!$A$56:$K$345,9,0)&amp;""</f>
        <v>Standard Importance</v>
      </c>
      <c r="J48" s="4" t="str">
        <f>VLOOKUP($A48,'Institution Evaluation'!$A$56:$K$345,10,0)&amp;""</f>
        <v/>
      </c>
      <c r="K48" s="4">
        <f>IF($I48='Auto Responses'!$J$11,20,IF($I48='Auto Responses'!$J$13,5,10))</f>
        <v>10</v>
      </c>
      <c r="L48" s="107">
        <f>IF($E48='Auto Responses'!$L$13, 'Auto Responses'!$J$5,IF(AND($D48='Auto Responses'!$J$27,$H48=""),'Auto Responses'!$J$5,IF(AND($D48='Auto Responses'!$J$27,$H48='Auto Responses'!$J$7),1,IF(AND($D48='Auto Responses'!$J$27,$H48='Auto Responses'!$J$8),0,IF(OR(AND($F48=$G48,$H48=""),$H48='Auto Responses'!$J$7),1,0)))))</f>
        <v>0</v>
      </c>
      <c r="M48" s="4" t="str">
        <f>VLOOKUP($A48,'Institution Evaluation'!$A$56:$K$345,11,0)&amp;""</f>
        <v>FALSE</v>
      </c>
      <c r="N48" s="4">
        <f>IF($J48='Auto Responses'!$J$11,1,IF(AND($J48="",$I48='Auto Responses'!$J$11),1,0))</f>
        <v>0</v>
      </c>
      <c r="O48" s="107">
        <f>IF(OR($F$18='Auto Responses'!$J$4,$E48='Auto Responses'!$L$13,$F48='Auto Responses'!$J$5),'Auto Responses'!$J$5,IF($J48="",$K48,IF($J48='Auto Responses'!$J$13,5,IF($J48='Auto Responses'!$J$12,10,IF($J48='Auto Responses'!$J$11,20,0)))))</f>
        <v>10</v>
      </c>
      <c r="P48" s="107">
        <f>IF(OR($O48='Auto Responses'!$J$5,$L48='Auto Responses'!$J$5),'Auto Responses'!$J$5,$O48*$L48)</f>
        <v>0</v>
      </c>
      <c r="Q48" s="107">
        <f t="shared" si="1"/>
        <v>0</v>
      </c>
      <c r="R48" s="107">
        <f t="shared" si="5"/>
        <v>0</v>
      </c>
      <c r="S48" s="107">
        <f t="shared" si="2"/>
        <v>0</v>
      </c>
      <c r="T48" s="107">
        <f t="shared" si="3"/>
        <v>0</v>
      </c>
      <c r="U48" s="107">
        <f t="shared" si="6"/>
        <v>6</v>
      </c>
      <c r="V48" s="107">
        <f t="shared" si="4"/>
        <v>0</v>
      </c>
    </row>
    <row r="49" spans="1:22" ht="57" x14ac:dyDescent="0.2">
      <c r="A49" s="4" t="str">
        <f>Questions!$A49</f>
        <v>ITAC-18</v>
      </c>
      <c r="B49" s="4" t="str">
        <f t="shared" si="0"/>
        <v>ITAC</v>
      </c>
      <c r="C49" s="4" t="str">
        <f>VLOOKUP($A49,Questions!$A$3:$L$333,2,0)&amp;""</f>
        <v>Does your product rely on activating a special "accessibility mode," a "lite version," or using an alternate interface (including “overlay” or AI-based alternates)  for accessibility purposes?</v>
      </c>
      <c r="D49" s="4" t="str">
        <f>VLOOKUP($A49,Questions!$A$3:$L$333,11,0)&amp;""</f>
        <v/>
      </c>
      <c r="E49" s="4" t="str">
        <f>VLOOKUP($A49,Questions!$A$3:$L$333,12,0)&amp;""</f>
        <v>IT Accessibility</v>
      </c>
      <c r="F49" s="4" t="str">
        <f>VLOOKUP($A49,'Institution Evaluation'!$A$56:$K$345,3,0)&amp;""</f>
        <v/>
      </c>
      <c r="G49" s="4" t="str">
        <f>VLOOKUP($A49,'Institution Evaluation'!$A$56:$K$345,7,0)&amp;""</f>
        <v>No</v>
      </c>
      <c r="H49" s="4" t="str">
        <f>VLOOKUP($A49,'Institution Evaluation'!$A$56:$K$345,8,0)&amp;""</f>
        <v/>
      </c>
      <c r="I49" s="4" t="str">
        <f>VLOOKUP($A49,'Institution Evaluation'!$A$56:$K$345,9,0)&amp;""</f>
        <v>Standard Importance</v>
      </c>
      <c r="J49" s="4" t="str">
        <f>VLOOKUP($A49,'Institution Evaluation'!$A$56:$K$345,10,0)&amp;""</f>
        <v/>
      </c>
      <c r="K49" s="4">
        <f>IF($I49='Auto Responses'!$J$11,20,IF($I49='Auto Responses'!$J$13,5,10))</f>
        <v>10</v>
      </c>
      <c r="L49" s="107">
        <f>IF($E49='Auto Responses'!$L$13, 'Auto Responses'!$J$5,IF(AND($D49='Auto Responses'!$J$27,$H49=""),'Auto Responses'!$J$5,IF(AND($D49='Auto Responses'!$J$27,$H49='Auto Responses'!$J$7),1,IF(AND($D49='Auto Responses'!$J$27,$H49='Auto Responses'!$J$8),0,IF(OR(AND($F49=$G49,$H49=""),$H49='Auto Responses'!$J$7),1,0)))))</f>
        <v>0</v>
      </c>
      <c r="M49" s="4" t="str">
        <f>VLOOKUP($A49,'Institution Evaluation'!$A$56:$K$345,11,0)&amp;""</f>
        <v>FALSE</v>
      </c>
      <c r="N49" s="4">
        <f>IF($J49='Auto Responses'!$J$11,1,IF(AND($J49="",$I49='Auto Responses'!$J$11),1,0))</f>
        <v>0</v>
      </c>
      <c r="O49" s="107">
        <f>IF(OR($F$18='Auto Responses'!$J$4,$E49='Auto Responses'!$L$13,$F49='Auto Responses'!$J$5),'Auto Responses'!$J$5,IF($J49="",$K49,IF($J49='Auto Responses'!$J$13,5,IF($J49='Auto Responses'!$J$12,10,IF($J49='Auto Responses'!$J$11,20,0)))))</f>
        <v>10</v>
      </c>
      <c r="P49" s="107">
        <f>IF(OR($O49='Auto Responses'!$J$5,$L49='Auto Responses'!$J$5),'Auto Responses'!$J$5,$O49*$L49)</f>
        <v>0</v>
      </c>
      <c r="Q49" s="107">
        <f t="shared" si="1"/>
        <v>0</v>
      </c>
      <c r="R49" s="107">
        <f t="shared" si="5"/>
        <v>0</v>
      </c>
      <c r="S49" s="107">
        <f t="shared" si="2"/>
        <v>0</v>
      </c>
      <c r="T49" s="107">
        <f t="shared" si="3"/>
        <v>0</v>
      </c>
      <c r="U49" s="107">
        <f t="shared" si="6"/>
        <v>6</v>
      </c>
      <c r="V49" s="107">
        <f t="shared" si="4"/>
        <v>0</v>
      </c>
    </row>
    <row r="50" spans="1:22" ht="57" x14ac:dyDescent="0.2">
      <c r="A50" s="4" t="str">
        <f>Questions!$A51</f>
        <v>THRD-02</v>
      </c>
      <c r="B50" s="4" t="str">
        <f t="shared" si="0"/>
        <v>THRD</v>
      </c>
      <c r="C50" s="4" t="str">
        <f>VLOOKUP($A50,Questions!$A$3:$L$333,2,0)&amp;""</f>
        <v>Do you have contractual language in place with third parties governing access to institutional data?*</v>
      </c>
      <c r="D50" s="4" t="str">
        <f>VLOOKUP($A50,Questions!$A$3:$L$333,11,0)&amp;""</f>
        <v/>
      </c>
      <c r="E50" s="4" t="str">
        <f>VLOOKUP($A50,Questions!$A$3:$L$333,12,0)&amp;""</f>
        <v>Organization</v>
      </c>
      <c r="F50" s="4" t="str">
        <f>VLOOKUP($A50,'Institution Evaluation'!$A$56:$K$345,3,0)&amp;""</f>
        <v/>
      </c>
      <c r="G50" s="4" t="str">
        <f>VLOOKUP($A50,'Institution Evaluation'!$A$56:$K$345,7,0)&amp;""</f>
        <v>Yes</v>
      </c>
      <c r="H50" s="4" t="str">
        <f>VLOOKUP($A50,'Institution Evaluation'!$A$56:$K$345,8,0)&amp;""</f>
        <v/>
      </c>
      <c r="I50" s="4" t="str">
        <f>VLOOKUP($A50,'Institution Evaluation'!$A$56:$K$345,9,0)&amp;""</f>
        <v>Critical Importance</v>
      </c>
      <c r="J50" s="4" t="str">
        <f>VLOOKUP($A50,'Institution Evaluation'!$A$56:$K$345,10,0)&amp;""</f>
        <v/>
      </c>
      <c r="K50" s="4">
        <f>IF($I50='Auto Responses'!$J$11,20,IF($I50='Auto Responses'!$J$13,5,10))</f>
        <v>20</v>
      </c>
      <c r="L50" s="107">
        <f>IF($E50='Auto Responses'!$L$13, 'Auto Responses'!$J$5,IF(AND($D50='Auto Responses'!$J$27,$H50=""),'Auto Responses'!$J$5,IF(AND($D50='Auto Responses'!$J$27,$H50='Auto Responses'!$J$7),1,IF(AND($D50='Auto Responses'!$J$27,$H50='Auto Responses'!$J$8),0,IF(OR(AND($F50=$G50,$H50=""),$H50='Auto Responses'!$J$7),1,0)))))</f>
        <v>0</v>
      </c>
      <c r="M50" s="4" t="str">
        <f>VLOOKUP($A50,'Institution Evaluation'!$A$56:$K$345,11,0)&amp;""</f>
        <v>FALSE</v>
      </c>
      <c r="N50" s="4">
        <f>IF($J50='Auto Responses'!$J$11,1,IF(AND($J50="",$I50='Auto Responses'!$J$11),1,0))</f>
        <v>1</v>
      </c>
      <c r="O50" s="107">
        <f>IF(OR($E50='Auto Responses'!$L$13,$F50='Auto Responses'!$J$5),'Auto Responses'!$J$5,IF($J50="",$K50,IF($J50='Auto Responses'!$J$13,5,IF($J50='Auto Responses'!$J$12,10,IF($J50='Auto Responses'!$J$11,20,0)))))</f>
        <v>20</v>
      </c>
      <c r="P50" s="107">
        <f>IF(OR($O50='Auto Responses'!$J$5,$L50='Auto Responses'!$J$5),'Auto Responses'!$J$5,$O50*$L50)</f>
        <v>0</v>
      </c>
      <c r="Q50" s="107">
        <f t="shared" si="1"/>
        <v>0</v>
      </c>
      <c r="R50" s="107">
        <f t="shared" si="5"/>
        <v>0</v>
      </c>
      <c r="S50" s="107">
        <f t="shared" si="2"/>
        <v>0</v>
      </c>
      <c r="T50" s="107">
        <f t="shared" si="3"/>
        <v>1</v>
      </c>
      <c r="U50" s="107">
        <f t="shared" si="6"/>
        <v>7</v>
      </c>
      <c r="V50" s="107">
        <f t="shared" si="4"/>
        <v>7</v>
      </c>
    </row>
    <row r="51" spans="1:22" ht="57" x14ac:dyDescent="0.2">
      <c r="A51" s="4" t="str">
        <f>Questions!$A50</f>
        <v>THRD-01</v>
      </c>
      <c r="B51" s="4" t="str">
        <f t="shared" si="0"/>
        <v>THRD</v>
      </c>
      <c r="C51" s="4" t="str">
        <f>VLOOKUP($A51,Questions!$A$3:$L$333,2,0)&amp;""</f>
        <v>Do you perform security assessments of third-party companies with which you share data (e.g., hosting providers, cloud services, PaaS, IaaS, SaaS)?*</v>
      </c>
      <c r="D51" s="4" t="str">
        <f>VLOOKUP($A51,Questions!$A$3:$L$333,11,0)&amp;""</f>
        <v/>
      </c>
      <c r="E51" s="4" t="str">
        <f>VLOOKUP($A51,Questions!$A$3:$L$333,12,0)&amp;""</f>
        <v>Organization</v>
      </c>
      <c r="F51" s="4" t="str">
        <f>VLOOKUP($A51,'Institution Evaluation'!$A$56:$K$345,3,0)&amp;""</f>
        <v/>
      </c>
      <c r="G51" s="4" t="str">
        <f>VLOOKUP($A51,'Institution Evaluation'!$A$56:$K$345,7,0)&amp;""</f>
        <v>Yes</v>
      </c>
      <c r="H51" s="4" t="str">
        <f>VLOOKUP($A51,'Institution Evaluation'!$A$56:$K$345,8,0)&amp;""</f>
        <v/>
      </c>
      <c r="I51" s="4" t="str">
        <f>VLOOKUP($A51,'Institution Evaluation'!$A$56:$K$345,9,0)&amp;""</f>
        <v>Critical Importance</v>
      </c>
      <c r="J51" s="4" t="str">
        <f>VLOOKUP($A51,'Institution Evaluation'!$A$56:$K$345,10,0)&amp;""</f>
        <v/>
      </c>
      <c r="K51" s="4">
        <f>IF($I51='Auto Responses'!$J$11,20,IF($I51='Auto Responses'!$J$13,5,10))</f>
        <v>20</v>
      </c>
      <c r="L51" s="107">
        <f>IF($E51='Auto Responses'!$L$13, 'Auto Responses'!$J$5,IF(AND($D51='Auto Responses'!$J$27,$H51=""),'Auto Responses'!$J$5,IF(AND($D51='Auto Responses'!$J$27,$H51='Auto Responses'!$J$7),1,IF(AND($D51='Auto Responses'!$J$27,$H51='Auto Responses'!$J$8),0,IF(OR(AND($F51=$G51,$H51=""),$H51='Auto Responses'!$J$7),1,0)))))</f>
        <v>0</v>
      </c>
      <c r="M51" s="4" t="str">
        <f>VLOOKUP($A51,'Institution Evaluation'!$A$56:$K$345,11,0)&amp;""</f>
        <v>FALSE</v>
      </c>
      <c r="N51" s="4">
        <f>IF($J51='Auto Responses'!$J$11,1,IF(AND($J51="",$I51='Auto Responses'!$J$11),1,0))</f>
        <v>1</v>
      </c>
      <c r="O51" s="107">
        <f>IF(OR($E51='Auto Responses'!$L$13,$F51='Auto Responses'!$J$5),'Auto Responses'!$J$5,IF($J51="",$K51,IF($J51='Auto Responses'!$J$13,5,IF($J51='Auto Responses'!$J$12,10,IF($J51='Auto Responses'!$J$11,20,0)))))</f>
        <v>20</v>
      </c>
      <c r="P51" s="107">
        <f>IF(OR($O51='Auto Responses'!$J$5,$L51='Auto Responses'!$J$5),'Auto Responses'!$J$5,$O51*$L51)</f>
        <v>0</v>
      </c>
      <c r="Q51" s="107">
        <f t="shared" si="1"/>
        <v>0</v>
      </c>
      <c r="R51" s="107">
        <f t="shared" si="5"/>
        <v>0</v>
      </c>
      <c r="S51" s="107">
        <f t="shared" si="2"/>
        <v>0</v>
      </c>
      <c r="T51" s="107">
        <f t="shared" si="3"/>
        <v>1</v>
      </c>
      <c r="U51" s="107">
        <f t="shared" si="6"/>
        <v>8</v>
      </c>
      <c r="V51" s="107">
        <f t="shared" si="4"/>
        <v>8</v>
      </c>
    </row>
    <row r="52" spans="1:22" ht="57" x14ac:dyDescent="0.2">
      <c r="A52" s="4" t="str">
        <f>Questions!$A52</f>
        <v>THRD-03</v>
      </c>
      <c r="B52" s="4" t="str">
        <f t="shared" si="0"/>
        <v>THRD</v>
      </c>
      <c r="C52" s="4" t="str">
        <f>VLOOKUP($A52,Questions!$A$3:$L$333,2,0)&amp;""</f>
        <v>Do the contracts in place with these third parties address liability in the event of a data breach?*</v>
      </c>
      <c r="D52" s="4" t="str">
        <f>VLOOKUP($A52,Questions!$A$3:$L$333,11,0)&amp;""</f>
        <v/>
      </c>
      <c r="E52" s="4" t="str">
        <f>VLOOKUP($A52,Questions!$A$3:$L$333,12,0)&amp;""</f>
        <v>Organization</v>
      </c>
      <c r="F52" s="4" t="str">
        <f>VLOOKUP($A52,'Institution Evaluation'!$A$56:$K$345,3,0)&amp;""</f>
        <v/>
      </c>
      <c r="G52" s="4" t="str">
        <f>VLOOKUP($A52,'Institution Evaluation'!$A$56:$K$345,7,0)&amp;""</f>
        <v>Yes</v>
      </c>
      <c r="H52" s="4" t="str">
        <f>VLOOKUP($A52,'Institution Evaluation'!$A$56:$K$345,8,0)&amp;""</f>
        <v/>
      </c>
      <c r="I52" s="4" t="str">
        <f>VLOOKUP($A52,'Institution Evaluation'!$A$56:$K$345,9,0)&amp;""</f>
        <v>Critical Importance</v>
      </c>
      <c r="J52" s="4" t="str">
        <f>VLOOKUP($A52,'Institution Evaluation'!$A$56:$K$345,10,0)&amp;""</f>
        <v/>
      </c>
      <c r="K52" s="4">
        <f>IF($I52='Auto Responses'!$J$11,20,IF($I52='Auto Responses'!$J$13,5,10))</f>
        <v>20</v>
      </c>
      <c r="L52" s="107">
        <f>IF($E52='Auto Responses'!$L$13, 'Auto Responses'!$J$5,IF(AND($D52='Auto Responses'!$J$27,$H52=""),'Auto Responses'!$J$5,IF(AND($D52='Auto Responses'!$J$27,$H52='Auto Responses'!$J$7),1,IF(AND($D52='Auto Responses'!$J$27,$H52='Auto Responses'!$J$8),0,IF(OR(AND($F52=$G52,$H52=""),$H52='Auto Responses'!$J$7),1,0)))))</f>
        <v>0</v>
      </c>
      <c r="M52" s="4" t="str">
        <f>VLOOKUP($A52,'Institution Evaluation'!$A$56:$K$345,11,0)&amp;""</f>
        <v>FALSE</v>
      </c>
      <c r="N52" s="4">
        <f>IF($J52='Auto Responses'!$J$11,1,IF(AND($J52="",$I52='Auto Responses'!$J$11),1,0))</f>
        <v>1</v>
      </c>
      <c r="O52" s="107">
        <f>IF(OR($E52='Auto Responses'!$L$13,$F52='Auto Responses'!$J$5),'Auto Responses'!$J$5,IF($J52="",$K52,IF($J52='Auto Responses'!$J$13,5,IF($J52='Auto Responses'!$J$12,10,IF($J52='Auto Responses'!$J$11,20,0)))))</f>
        <v>20</v>
      </c>
      <c r="P52" s="107">
        <f>IF(OR($O52='Auto Responses'!$J$5,$L52='Auto Responses'!$J$5),'Auto Responses'!$J$5,$O52*$L52)</f>
        <v>0</v>
      </c>
      <c r="Q52" s="107">
        <f t="shared" si="1"/>
        <v>0</v>
      </c>
      <c r="R52" s="107">
        <f t="shared" si="5"/>
        <v>0</v>
      </c>
      <c r="S52" s="107">
        <f t="shared" si="2"/>
        <v>0</v>
      </c>
      <c r="T52" s="107">
        <f t="shared" si="3"/>
        <v>1</v>
      </c>
      <c r="U52" s="107">
        <f t="shared" si="6"/>
        <v>9</v>
      </c>
      <c r="V52" s="107">
        <f t="shared" si="4"/>
        <v>9</v>
      </c>
    </row>
    <row r="53" spans="1:22" ht="57" x14ac:dyDescent="0.2">
      <c r="A53" s="4" t="str">
        <f>Questions!$A53</f>
        <v>THRD-04</v>
      </c>
      <c r="B53" s="4" t="str">
        <f t="shared" si="0"/>
        <v>THRD</v>
      </c>
      <c r="C53" s="4" t="str">
        <f>VLOOKUP($A53,Questions!$A$3:$L$333,2,0)&amp;""</f>
        <v>Do you have an implemented third-party management strategy?*</v>
      </c>
      <c r="D53" s="4" t="str">
        <f>VLOOKUP($A53,Questions!$A$3:$L$333,11,0)&amp;""</f>
        <v/>
      </c>
      <c r="E53" s="4" t="str">
        <f>VLOOKUP($A53,Questions!$A$3:$L$333,12,0)&amp;""</f>
        <v>Organization</v>
      </c>
      <c r="F53" s="4" t="str">
        <f>VLOOKUP($A53,'Institution Evaluation'!$A$56:$K$345,3,0)&amp;""</f>
        <v/>
      </c>
      <c r="G53" s="4" t="str">
        <f>VLOOKUP($A53,'Institution Evaluation'!$A$56:$K$345,7,0)&amp;""</f>
        <v>Yes</v>
      </c>
      <c r="H53" s="4" t="str">
        <f>VLOOKUP($A53,'Institution Evaluation'!$A$56:$K$345,8,0)&amp;""</f>
        <v/>
      </c>
      <c r="I53" s="4" t="str">
        <f>VLOOKUP($A53,'Institution Evaluation'!$A$56:$K$345,9,0)&amp;""</f>
        <v>Critical Importance</v>
      </c>
      <c r="J53" s="4" t="str">
        <f>VLOOKUP($A53,'Institution Evaluation'!$A$56:$K$345,10,0)&amp;""</f>
        <v/>
      </c>
      <c r="K53" s="4">
        <f>IF($I53='Auto Responses'!$J$11,20,IF($I53='Auto Responses'!$J$13,5,10))</f>
        <v>20</v>
      </c>
      <c r="L53" s="107">
        <f>IF($E53='Auto Responses'!$L$13, 'Auto Responses'!$J$5,IF(AND($D53='Auto Responses'!$J$27,$H53=""),'Auto Responses'!$J$5,IF(AND($D53='Auto Responses'!$J$27,$H53='Auto Responses'!$J$7),1,IF(AND($D53='Auto Responses'!$J$27,$H53='Auto Responses'!$J$8),0,IF(OR(AND($F53=$G53,$H53=""),$H53='Auto Responses'!$J$7),1,0)))))</f>
        <v>0</v>
      </c>
      <c r="M53" s="4" t="str">
        <f>VLOOKUP($A53,'Institution Evaluation'!$A$56:$K$345,11,0)&amp;""</f>
        <v>FALSE</v>
      </c>
      <c r="N53" s="4">
        <f>IF($J53='Auto Responses'!$J$11,1,IF(AND($J53="",$I53='Auto Responses'!$J$11),1,0))</f>
        <v>1</v>
      </c>
      <c r="O53" s="107">
        <f>IF(OR($E53='Auto Responses'!$L$13,$F53='Auto Responses'!$J$5),'Auto Responses'!$J$5,IF($J53="",$K53,IF($J53='Auto Responses'!$J$13,5,IF($J53='Auto Responses'!$J$12,10,IF($J53='Auto Responses'!$J$11,20,0)))))</f>
        <v>20</v>
      </c>
      <c r="P53" s="107">
        <f>IF(OR($O53='Auto Responses'!$J$5,$L53='Auto Responses'!$J$5),'Auto Responses'!$J$5,$O53*$L53)</f>
        <v>0</v>
      </c>
      <c r="Q53" s="107">
        <f t="shared" si="1"/>
        <v>0</v>
      </c>
      <c r="R53" s="107">
        <f t="shared" si="5"/>
        <v>0</v>
      </c>
      <c r="S53" s="107">
        <f t="shared" si="2"/>
        <v>0</v>
      </c>
      <c r="T53" s="107">
        <f t="shared" si="3"/>
        <v>1</v>
      </c>
      <c r="U53" s="107">
        <f t="shared" si="6"/>
        <v>10</v>
      </c>
      <c r="V53" s="107">
        <f t="shared" si="4"/>
        <v>10</v>
      </c>
    </row>
    <row r="54" spans="1:22" ht="57" x14ac:dyDescent="0.2">
      <c r="A54" s="4" t="str">
        <f>Questions!$A54</f>
        <v>THRD-05</v>
      </c>
      <c r="B54" s="4" t="str">
        <f t="shared" si="0"/>
        <v>THRD</v>
      </c>
      <c r="C54" s="4" t="str">
        <f>VLOOKUP($A54,Questions!$A$3:$L$333,2,0)&amp;""</f>
        <v>Do you have a process and implemented procedures for managing your hardware supply chain (e.g., telecommunications equipment, export licensing, computing devices)?</v>
      </c>
      <c r="D54" s="4" t="str">
        <f>VLOOKUP($A54,Questions!$A$3:$L$333,11,0)&amp;""</f>
        <v/>
      </c>
      <c r="E54" s="4" t="str">
        <f>VLOOKUP($A54,Questions!$A$3:$L$333,12,0)&amp;""</f>
        <v>Organization</v>
      </c>
      <c r="F54" s="4" t="str">
        <f>VLOOKUP($A54,'Institution Evaluation'!$A$56:$K$345,3,0)&amp;""</f>
        <v/>
      </c>
      <c r="G54" s="4" t="str">
        <f>VLOOKUP($A54,'Institution Evaluation'!$A$56:$K$345,7,0)&amp;""</f>
        <v>Yes</v>
      </c>
      <c r="H54" s="4" t="str">
        <f>VLOOKUP($A54,'Institution Evaluation'!$A$56:$K$345,8,0)&amp;""</f>
        <v/>
      </c>
      <c r="I54" s="4" t="str">
        <f>VLOOKUP($A54,'Institution Evaluation'!$A$56:$K$345,9,0)&amp;""</f>
        <v>Standard Importance</v>
      </c>
      <c r="J54" s="4" t="str">
        <f>VLOOKUP($A54,'Institution Evaluation'!$A$56:$K$345,10,0)&amp;""</f>
        <v/>
      </c>
      <c r="K54" s="4">
        <f>IF($I54='Auto Responses'!$J$11,20,IF($I54='Auto Responses'!$J$13,5,10))</f>
        <v>10</v>
      </c>
      <c r="L54" s="107">
        <f>IF($E54='Auto Responses'!$L$13, 'Auto Responses'!$J$5,IF(AND($D54='Auto Responses'!$J$27,$H54=""),'Auto Responses'!$J$5,IF(AND($D54='Auto Responses'!$J$27,$H54='Auto Responses'!$J$7),1,IF(AND($D54='Auto Responses'!$J$27,$H54='Auto Responses'!$J$8),0,IF(OR(AND($F54=$G54,$H54=""),$H54='Auto Responses'!$J$7),1,0)))))</f>
        <v>0</v>
      </c>
      <c r="M54" s="4" t="str">
        <f>VLOOKUP($A54,'Institution Evaluation'!$A$56:$K$345,11,0)&amp;""</f>
        <v>FALSE</v>
      </c>
      <c r="N54" s="4">
        <f>IF($J54='Auto Responses'!$J$11,1,IF(AND($J54="",$I54='Auto Responses'!$J$11),1,0))</f>
        <v>0</v>
      </c>
      <c r="O54" s="107">
        <f>IF(OR($E54='Auto Responses'!$L$13,$F54='Auto Responses'!$J$5),'Auto Responses'!$J$5,IF($J54="",$K54,IF($J54='Auto Responses'!$J$13,5,IF($J54='Auto Responses'!$J$12,10,IF($J54='Auto Responses'!$J$11,20,0)))))</f>
        <v>10</v>
      </c>
      <c r="P54" s="107">
        <f>IF(OR($O54='Auto Responses'!$J$5,$L54='Auto Responses'!$J$5),'Auto Responses'!$J$5,$O54*$L54)</f>
        <v>0</v>
      </c>
      <c r="Q54" s="107">
        <f t="shared" si="1"/>
        <v>0</v>
      </c>
      <c r="R54" s="107">
        <f t="shared" si="5"/>
        <v>0</v>
      </c>
      <c r="S54" s="107">
        <f t="shared" si="2"/>
        <v>0</v>
      </c>
      <c r="T54" s="107">
        <f t="shared" si="3"/>
        <v>0</v>
      </c>
      <c r="U54" s="107">
        <f t="shared" si="6"/>
        <v>10</v>
      </c>
      <c r="V54" s="107">
        <f t="shared" si="4"/>
        <v>0</v>
      </c>
    </row>
    <row r="55" spans="1:22" ht="57" x14ac:dyDescent="0.2">
      <c r="A55" s="4" t="str">
        <f>Questions!$A55</f>
        <v>CONS-01</v>
      </c>
      <c r="B55" s="4" t="str">
        <f t="shared" si="0"/>
        <v>CONS</v>
      </c>
      <c r="C55" s="4" t="str">
        <f>VLOOKUP($A55,Questions!$A$3:$L$333,2,0)&amp;""</f>
        <v>Will the consultant require access to the institution's network resources?*</v>
      </c>
      <c r="D55" s="4" t="str">
        <f>VLOOKUP($A55,Questions!$A$3:$L$333,11,0)&amp;""</f>
        <v/>
      </c>
      <c r="E55" s="4" t="str">
        <f>VLOOKUP($A55,Questions!$A$3:$L$333,12,0)&amp;""</f>
        <v>Case-Specific</v>
      </c>
      <c r="F55" s="4" t="str">
        <f>VLOOKUP($A55,'Institution Evaluation'!$A$56:$K$345,3,0)&amp;""</f>
        <v/>
      </c>
      <c r="G55" s="4" t="str">
        <f>VLOOKUP($A55,'Institution Evaluation'!$A$56:$K$345,7,0)&amp;""</f>
        <v>No</v>
      </c>
      <c r="H55" s="4" t="str">
        <f>VLOOKUP($A55,'Institution Evaluation'!$A$56:$K$345,8,0)&amp;""</f>
        <v/>
      </c>
      <c r="I55" s="4" t="str">
        <f>VLOOKUP($A55,'Institution Evaluation'!$A$56:$K$345,9,0)&amp;""</f>
        <v>Critical Importance</v>
      </c>
      <c r="J55" s="4" t="str">
        <f>VLOOKUP($A55,'Institution Evaluation'!$A$56:$K$345,10,0)&amp;""</f>
        <v/>
      </c>
      <c r="K55" s="4">
        <f>IF($I55='Auto Responses'!$J$11,20,IF($I55='Auto Responses'!$J$13,5,10))</f>
        <v>20</v>
      </c>
      <c r="L55" s="107">
        <f>IF($E55='Auto Responses'!$L$13, 'Auto Responses'!$J$5,IF(AND($D55='Auto Responses'!$J$27,$H55=""),'Auto Responses'!$J$5,IF(AND($D55='Auto Responses'!$J$27,$H55='Auto Responses'!$J$7),1,IF(AND($D55='Auto Responses'!$J$27,$H55='Auto Responses'!$J$8),0,IF(OR(AND($F55=$G55,$H55=""),$H55='Auto Responses'!$J$7),1,0)))))</f>
        <v>0</v>
      </c>
      <c r="M55" s="4" t="str">
        <f>VLOOKUP($A55,'Institution Evaluation'!$A$56:$K$345,11,0)&amp;""</f>
        <v>FALSE</v>
      </c>
      <c r="N55" s="4">
        <f>IF($J55='Auto Responses'!$J$11,1,IF(AND($J55="",$I55='Auto Responses'!$J$11),1,0))</f>
        <v>1</v>
      </c>
      <c r="O55" s="107">
        <f>IF(OR($F$19='Auto Responses'!$J$4,$E55='Auto Responses'!$L$13,$F55='Auto Responses'!$J$5),'Auto Responses'!$J$5,IF($J55="",$K55,IF($J55='Auto Responses'!$J$13,5,IF($J55='Auto Responses'!$J$12,10,IF($J55='Auto Responses'!$J$11,20,0)))))</f>
        <v>20</v>
      </c>
      <c r="P55" s="107">
        <f>IF(OR($O55='Auto Responses'!$J$5,$L55='Auto Responses'!$J$5),'Auto Responses'!$J$5,$O55*$L55)</f>
        <v>0</v>
      </c>
      <c r="Q55" s="107">
        <f t="shared" si="1"/>
        <v>0</v>
      </c>
      <c r="R55" s="107">
        <f t="shared" si="5"/>
        <v>0</v>
      </c>
      <c r="S55" s="107">
        <f t="shared" si="2"/>
        <v>0</v>
      </c>
      <c r="T55" s="107">
        <f t="shared" si="3"/>
        <v>1</v>
      </c>
      <c r="U55" s="107">
        <f t="shared" si="6"/>
        <v>11</v>
      </c>
      <c r="V55" s="107">
        <f t="shared" si="4"/>
        <v>11</v>
      </c>
    </row>
    <row r="56" spans="1:22" ht="57" x14ac:dyDescent="0.2">
      <c r="A56" s="4" t="str">
        <f>Questions!$A56</f>
        <v>CONS-02</v>
      </c>
      <c r="B56" s="4" t="str">
        <f t="shared" si="0"/>
        <v>CONS</v>
      </c>
      <c r="C56" s="4" t="str">
        <f>VLOOKUP($A56,Questions!$A$3:$L$333,2,0)&amp;""</f>
        <v>Has the consultant received training on (sensitive, HIPAA, PCI, etc.) data handling?*</v>
      </c>
      <c r="D56" s="4" t="str">
        <f>VLOOKUP($A56,Questions!$A$3:$L$333,11,0)&amp;""</f>
        <v/>
      </c>
      <c r="E56" s="4" t="str">
        <f>VLOOKUP($A56,Questions!$A$3:$L$333,12,0)&amp;""</f>
        <v>Case-Specific</v>
      </c>
      <c r="F56" s="4" t="str">
        <f>VLOOKUP($A56,'Institution Evaluation'!$A$56:$K$345,3,0)&amp;""</f>
        <v/>
      </c>
      <c r="G56" s="4" t="str">
        <f>VLOOKUP($A56,'Institution Evaluation'!$A$56:$K$345,7,0)&amp;""</f>
        <v>Yes</v>
      </c>
      <c r="H56" s="4" t="str">
        <f>VLOOKUP($A56,'Institution Evaluation'!$A$56:$K$345,8,0)&amp;""</f>
        <v/>
      </c>
      <c r="I56" s="4" t="str">
        <f>VLOOKUP($A56,'Institution Evaluation'!$A$56:$K$345,9,0)&amp;""</f>
        <v>Critical Importance</v>
      </c>
      <c r="J56" s="4" t="str">
        <f>VLOOKUP($A56,'Institution Evaluation'!$A$56:$K$345,10,0)&amp;""</f>
        <v/>
      </c>
      <c r="K56" s="4">
        <f>IF($I56='Auto Responses'!$J$11,20,IF($I56='Auto Responses'!$J$13,5,10))</f>
        <v>20</v>
      </c>
      <c r="L56" s="107">
        <f>IF($E56='Auto Responses'!$L$13, 'Auto Responses'!$J$5,IF(AND($D56='Auto Responses'!$J$27,$H56=""),'Auto Responses'!$J$5,IF(AND($D56='Auto Responses'!$J$27,$H56='Auto Responses'!$J$7),1,IF(AND($D56='Auto Responses'!$J$27,$H56='Auto Responses'!$J$8),0,IF(OR(AND($F56=$G56,$H56=""),$H56='Auto Responses'!$J$7),1,0)))))</f>
        <v>0</v>
      </c>
      <c r="M56" s="4" t="str">
        <f>VLOOKUP($A56,'Institution Evaluation'!$A$56:$K$345,11,0)&amp;""</f>
        <v>FALSE</v>
      </c>
      <c r="N56" s="4">
        <f>IF($J56='Auto Responses'!$J$11,1,IF(AND($J56="",$I56='Auto Responses'!$J$11),1,0))</f>
        <v>1</v>
      </c>
      <c r="O56" s="107">
        <f>IF(OR($F$19='Auto Responses'!$J$4,$E56='Auto Responses'!$L$13,$F56='Auto Responses'!$J$5),'Auto Responses'!$J$5,IF($J56="",$K56,IF($J56='Auto Responses'!$J$13,5,IF($J56='Auto Responses'!$J$12,10,IF($J56='Auto Responses'!$J$11,20,0)))))</f>
        <v>20</v>
      </c>
      <c r="P56" s="107">
        <f>IF(OR($O56='Auto Responses'!$J$5,$L56='Auto Responses'!$J$5),'Auto Responses'!$J$5,$O56*$L56)</f>
        <v>0</v>
      </c>
      <c r="Q56" s="107">
        <f t="shared" si="1"/>
        <v>0</v>
      </c>
      <c r="R56" s="107">
        <f t="shared" si="5"/>
        <v>0</v>
      </c>
      <c r="S56" s="107">
        <f t="shared" si="2"/>
        <v>0</v>
      </c>
      <c r="T56" s="107">
        <f t="shared" si="3"/>
        <v>1</v>
      </c>
      <c r="U56" s="107">
        <f t="shared" si="6"/>
        <v>12</v>
      </c>
      <c r="V56" s="107">
        <f t="shared" si="4"/>
        <v>12</v>
      </c>
    </row>
    <row r="57" spans="1:22" ht="57" x14ac:dyDescent="0.2">
      <c r="A57" s="4" t="str">
        <f>Questions!$A57</f>
        <v>CONS-03</v>
      </c>
      <c r="B57" s="4" t="str">
        <f t="shared" si="0"/>
        <v>CONS</v>
      </c>
      <c r="C57" s="4" t="str">
        <f>VLOOKUP($A57,Questions!$A$3:$L$333,2,0)&amp;""</f>
        <v>Is the data encrypted (at rest) while in the consultant's possession?*</v>
      </c>
      <c r="D57" s="4" t="str">
        <f>VLOOKUP($A57,Questions!$A$3:$L$333,11,0)&amp;""</f>
        <v/>
      </c>
      <c r="E57" s="4" t="str">
        <f>VLOOKUP($A57,Questions!$A$3:$L$333,12,0)&amp;""</f>
        <v>Case-Specific</v>
      </c>
      <c r="F57" s="4" t="str">
        <f>VLOOKUP($A57,'Institution Evaluation'!$A$56:$K$345,3,0)&amp;""</f>
        <v/>
      </c>
      <c r="G57" s="4" t="str">
        <f>VLOOKUP($A57,'Institution Evaluation'!$A$56:$K$345,7,0)&amp;""</f>
        <v>Yes</v>
      </c>
      <c r="H57" s="4" t="str">
        <f>VLOOKUP($A57,'Institution Evaluation'!$A$56:$K$345,8,0)&amp;""</f>
        <v/>
      </c>
      <c r="I57" s="4" t="str">
        <f>VLOOKUP($A57,'Institution Evaluation'!$A$56:$K$345,9,0)&amp;""</f>
        <v>Critical Importance</v>
      </c>
      <c r="J57" s="4" t="str">
        <f>VLOOKUP($A57,'Institution Evaluation'!$A$56:$K$345,10,0)&amp;""</f>
        <v/>
      </c>
      <c r="K57" s="4">
        <f>IF($I57='Auto Responses'!$J$11,20,IF($I57='Auto Responses'!$J$13,5,10))</f>
        <v>20</v>
      </c>
      <c r="L57" s="107">
        <f>IF($E57='Auto Responses'!$L$13, 'Auto Responses'!$J$5,IF(AND($D57='Auto Responses'!$J$27,$H57=""),'Auto Responses'!$J$5,IF(AND($D57='Auto Responses'!$J$27,$H57='Auto Responses'!$J$7),1,IF(AND($D57='Auto Responses'!$J$27,$H57='Auto Responses'!$J$8),0,IF(OR(AND($F57=$G57,$H57=""),$H57='Auto Responses'!$J$7),1,0)))))</f>
        <v>0</v>
      </c>
      <c r="M57" s="4" t="str">
        <f>VLOOKUP($A57,'Institution Evaluation'!$A$56:$K$345,11,0)&amp;""</f>
        <v>FALSE</v>
      </c>
      <c r="N57" s="4">
        <f>IF($J57='Auto Responses'!$J$11,1,IF(AND($J57="",$I57='Auto Responses'!$J$11),1,0))</f>
        <v>1</v>
      </c>
      <c r="O57" s="107">
        <f>IF(OR($F$19='Auto Responses'!$J$4,$E57='Auto Responses'!$L$13,$F57='Auto Responses'!$J$5),'Auto Responses'!$J$5,IF($J57="",$K57,IF($J57='Auto Responses'!$J$13,5,IF($J57='Auto Responses'!$J$12,10,IF($J57='Auto Responses'!$J$11,20,0)))))</f>
        <v>20</v>
      </c>
      <c r="P57" s="107">
        <f>IF(OR($O57='Auto Responses'!$J$5,$L57='Auto Responses'!$J$5),'Auto Responses'!$J$5,$O57*$L57)</f>
        <v>0</v>
      </c>
      <c r="Q57" s="107">
        <f t="shared" si="1"/>
        <v>0</v>
      </c>
      <c r="R57" s="107">
        <f t="shared" si="5"/>
        <v>0</v>
      </c>
      <c r="S57" s="107">
        <f t="shared" si="2"/>
        <v>0</v>
      </c>
      <c r="T57" s="107">
        <f t="shared" si="3"/>
        <v>1</v>
      </c>
      <c r="U57" s="107">
        <f t="shared" si="6"/>
        <v>13</v>
      </c>
      <c r="V57" s="107">
        <f t="shared" si="4"/>
        <v>13</v>
      </c>
    </row>
    <row r="58" spans="1:22" ht="57" x14ac:dyDescent="0.2">
      <c r="A58" s="4" t="str">
        <f>Questions!$A58</f>
        <v>CONS-04</v>
      </c>
      <c r="B58" s="4" t="str">
        <f t="shared" si="0"/>
        <v>CONS</v>
      </c>
      <c r="C58" s="4" t="str">
        <f>VLOOKUP($A58,Questions!$A$3:$L$333,2,0)&amp;""</f>
        <v>Can access be restricted based on source IP address?*</v>
      </c>
      <c r="D58" s="4" t="str">
        <f>VLOOKUP($A58,Questions!$A$3:$L$333,11,0)&amp;""</f>
        <v/>
      </c>
      <c r="E58" s="4" t="str">
        <f>VLOOKUP($A58,Questions!$A$3:$L$333,12,0)&amp;""</f>
        <v>Case-Specific</v>
      </c>
      <c r="F58" s="4" t="str">
        <f>VLOOKUP($A58,'Institution Evaluation'!$A$56:$K$345,3,0)&amp;""</f>
        <v/>
      </c>
      <c r="G58" s="4" t="str">
        <f>VLOOKUP($A58,'Institution Evaluation'!$A$56:$K$345,7,0)&amp;""</f>
        <v>Yes</v>
      </c>
      <c r="H58" s="4" t="str">
        <f>VLOOKUP($A58,'Institution Evaluation'!$A$56:$K$345,8,0)&amp;""</f>
        <v/>
      </c>
      <c r="I58" s="4" t="str">
        <f>VLOOKUP($A58,'Institution Evaluation'!$A$56:$K$345,9,0)&amp;""</f>
        <v>Critical Importance</v>
      </c>
      <c r="J58" s="4" t="str">
        <f>VLOOKUP($A58,'Institution Evaluation'!$A$56:$K$345,10,0)&amp;""</f>
        <v/>
      </c>
      <c r="K58" s="4">
        <f>IF($I58='Auto Responses'!$J$11,20,IF($I58='Auto Responses'!$J$13,5,10))</f>
        <v>20</v>
      </c>
      <c r="L58" s="107">
        <f>IF($E58='Auto Responses'!$L$13, 'Auto Responses'!$J$5,IF(AND($D58='Auto Responses'!$J$27,$H58=""),'Auto Responses'!$J$5,IF(AND($D58='Auto Responses'!$J$27,$H58='Auto Responses'!$J$7),1,IF(AND($D58='Auto Responses'!$J$27,$H58='Auto Responses'!$J$8),0,IF(OR(AND($F58=$G58,$H58=""),$H58='Auto Responses'!$J$7),1,0)))))</f>
        <v>0</v>
      </c>
      <c r="M58" s="4" t="str">
        <f>VLOOKUP($A58,'Institution Evaluation'!$A$56:$K$345,11,0)&amp;""</f>
        <v>FALSE</v>
      </c>
      <c r="N58" s="4">
        <f>IF($J58='Auto Responses'!$J$11,1,IF(AND($J58="",$I58='Auto Responses'!$J$11),1,0))</f>
        <v>1</v>
      </c>
      <c r="O58" s="107">
        <f>IF(OR($F$19='Auto Responses'!$J$4,$E58='Auto Responses'!$L$13,$F58='Auto Responses'!$J$5),'Auto Responses'!$J$5,IF($J58="",$K58,IF($J58='Auto Responses'!$J$13,5,IF($J58='Auto Responses'!$J$12,10,IF($J58='Auto Responses'!$J$11,20,0)))))</f>
        <v>20</v>
      </c>
      <c r="P58" s="107">
        <f>IF(OR($O58='Auto Responses'!$J$5,$L58='Auto Responses'!$J$5),'Auto Responses'!$J$5,$O58*$L58)</f>
        <v>0</v>
      </c>
      <c r="Q58" s="107">
        <f t="shared" si="1"/>
        <v>0</v>
      </c>
      <c r="R58" s="107">
        <f t="shared" si="5"/>
        <v>0</v>
      </c>
      <c r="S58" s="107">
        <f t="shared" si="2"/>
        <v>0</v>
      </c>
      <c r="T58" s="107">
        <f t="shared" si="3"/>
        <v>1</v>
      </c>
      <c r="U58" s="107">
        <f t="shared" si="6"/>
        <v>14</v>
      </c>
      <c r="V58" s="107">
        <f t="shared" si="4"/>
        <v>14</v>
      </c>
    </row>
    <row r="59" spans="1:22" ht="57" x14ac:dyDescent="0.2">
      <c r="A59" s="4" t="str">
        <f>Questions!$A59</f>
        <v>CONS-05</v>
      </c>
      <c r="B59" s="4" t="str">
        <f t="shared" si="0"/>
        <v>CONS</v>
      </c>
      <c r="C59" s="4" t="str">
        <f>VLOOKUP($A59,Questions!$A$3:$L$333,2,0)&amp;""</f>
        <v>Will the consulting take place on-premises?</v>
      </c>
      <c r="D59" s="4" t="str">
        <f>VLOOKUP($A59,Questions!$A$3:$L$333,11,0)&amp;""</f>
        <v/>
      </c>
      <c r="E59" s="4" t="str">
        <f>VLOOKUP($A59,Questions!$A$3:$L$333,12,0)&amp;""</f>
        <v>Case-Specific</v>
      </c>
      <c r="F59" s="4" t="str">
        <f>VLOOKUP($A59,'Institution Evaluation'!$A$56:$K$345,3,0)&amp;""</f>
        <v/>
      </c>
      <c r="G59" s="4" t="str">
        <f>VLOOKUP($A59,'Institution Evaluation'!$A$56:$K$345,7,0)&amp;""</f>
        <v>No</v>
      </c>
      <c r="H59" s="4" t="str">
        <f>VLOOKUP($A59,'Institution Evaluation'!$A$56:$K$345,8,0)&amp;""</f>
        <v/>
      </c>
      <c r="I59" s="4" t="str">
        <f>VLOOKUP($A59,'Institution Evaluation'!$A$56:$K$345,9,0)&amp;""</f>
        <v>Standard Importance</v>
      </c>
      <c r="J59" s="4" t="str">
        <f>VLOOKUP($A59,'Institution Evaluation'!$A$56:$K$345,10,0)&amp;""</f>
        <v/>
      </c>
      <c r="K59" s="4">
        <f>IF($I59='Auto Responses'!$J$11,20,IF($I59='Auto Responses'!$J$13,5,10))</f>
        <v>10</v>
      </c>
      <c r="L59" s="107">
        <f>IF($E59='Auto Responses'!$L$13, 'Auto Responses'!$J$5,IF(AND($D59='Auto Responses'!$J$27,$H59=""),'Auto Responses'!$J$5,IF(AND($D59='Auto Responses'!$J$27,$H59='Auto Responses'!$J$7),1,IF(AND($D59='Auto Responses'!$J$27,$H59='Auto Responses'!$J$8),0,IF(OR(AND($F59=$G59,$H59=""),$H59='Auto Responses'!$J$7),1,0)))))</f>
        <v>0</v>
      </c>
      <c r="M59" s="4" t="str">
        <f>VLOOKUP($A59,'Institution Evaluation'!$A$56:$K$345,11,0)&amp;""</f>
        <v>FALSE</v>
      </c>
      <c r="N59" s="4">
        <f>IF($J59='Auto Responses'!$J$11,1,IF(AND($J59="",$I59='Auto Responses'!$J$11),1,0))</f>
        <v>0</v>
      </c>
      <c r="O59" s="107">
        <f>IF(OR($F$19='Auto Responses'!$J$4,$E59='Auto Responses'!$L$13,$F59='Auto Responses'!$J$5),'Auto Responses'!$J$5,IF($J59="",$K59,IF($J59='Auto Responses'!$J$13,5,IF($J59='Auto Responses'!$J$12,10,IF($J59='Auto Responses'!$J$11,20,0)))))</f>
        <v>10</v>
      </c>
      <c r="P59" s="107">
        <f>IF(OR($O59='Auto Responses'!$J$5,$L59='Auto Responses'!$J$5),'Auto Responses'!$J$5,$O59*$L59)</f>
        <v>0</v>
      </c>
      <c r="Q59" s="107">
        <f t="shared" si="1"/>
        <v>0</v>
      </c>
      <c r="R59" s="107">
        <f t="shared" si="5"/>
        <v>0</v>
      </c>
      <c r="S59" s="107">
        <f t="shared" si="2"/>
        <v>0</v>
      </c>
      <c r="T59" s="107">
        <f t="shared" si="3"/>
        <v>0</v>
      </c>
      <c r="U59" s="107">
        <f t="shared" si="6"/>
        <v>14</v>
      </c>
      <c r="V59" s="107">
        <f t="shared" si="4"/>
        <v>0</v>
      </c>
    </row>
    <row r="60" spans="1:22" ht="57" x14ac:dyDescent="0.2">
      <c r="A60" s="4" t="str">
        <f>Questions!$A60</f>
        <v>CONS-06</v>
      </c>
      <c r="B60" s="4" t="str">
        <f t="shared" si="0"/>
        <v>CONS</v>
      </c>
      <c r="C60" s="4" t="str">
        <f>VLOOKUP($A60,Questions!$A$3:$L$333,2,0)&amp;""</f>
        <v>Will the consultant require access to hardware in the institution's data centers?</v>
      </c>
      <c r="D60" s="4" t="str">
        <f>VLOOKUP($A60,Questions!$A$3:$L$333,11,0)&amp;""</f>
        <v/>
      </c>
      <c r="E60" s="4" t="str">
        <f>VLOOKUP($A60,Questions!$A$3:$L$333,12,0)&amp;""</f>
        <v>Case-Specific</v>
      </c>
      <c r="F60" s="4" t="str">
        <f>VLOOKUP($A60,'Institution Evaluation'!$A$56:$K$345,3,0)&amp;""</f>
        <v/>
      </c>
      <c r="G60" s="4" t="str">
        <f>VLOOKUP($A60,'Institution Evaluation'!$A$56:$K$345,7,0)&amp;""</f>
        <v>No</v>
      </c>
      <c r="H60" s="4" t="str">
        <f>VLOOKUP($A60,'Institution Evaluation'!$A$56:$K$345,8,0)&amp;""</f>
        <v/>
      </c>
      <c r="I60" s="4" t="str">
        <f>VLOOKUP($A60,'Institution Evaluation'!$A$56:$K$345,9,0)&amp;""</f>
        <v>Standard Importance</v>
      </c>
      <c r="J60" s="4" t="str">
        <f>VLOOKUP($A60,'Institution Evaluation'!$A$56:$K$345,10,0)&amp;""</f>
        <v/>
      </c>
      <c r="K60" s="4">
        <f>IF($I60='Auto Responses'!$J$11,20,IF($I60='Auto Responses'!$J$13,5,10))</f>
        <v>10</v>
      </c>
      <c r="L60" s="107">
        <f>IF($E60='Auto Responses'!$L$13, 'Auto Responses'!$J$5,IF(AND($D60='Auto Responses'!$J$27,$H60=""),'Auto Responses'!$J$5,IF(AND($D60='Auto Responses'!$J$27,$H60='Auto Responses'!$J$7),1,IF(AND($D60='Auto Responses'!$J$27,$H60='Auto Responses'!$J$8),0,IF(OR(AND($F60=$G60,$H60=""),$H60='Auto Responses'!$J$7),1,0)))))</f>
        <v>0</v>
      </c>
      <c r="M60" s="4" t="str">
        <f>VLOOKUP($A60,'Institution Evaluation'!$A$56:$K$345,11,0)&amp;""</f>
        <v>FALSE</v>
      </c>
      <c r="N60" s="4">
        <f>IF($J60='Auto Responses'!$J$11,1,IF(AND($J60="",$I60='Auto Responses'!$J$11),1,0))</f>
        <v>0</v>
      </c>
      <c r="O60" s="107">
        <f>IF(OR($F$19='Auto Responses'!$J$4,$E60='Auto Responses'!$L$13,$F60='Auto Responses'!$J$5),'Auto Responses'!$J$5,IF($J60="",$K60,IF($J60='Auto Responses'!$J$13,5,IF($J60='Auto Responses'!$J$12,10,IF($J60='Auto Responses'!$J$11,20,0)))))</f>
        <v>10</v>
      </c>
      <c r="P60" s="107">
        <f>IF(OR($O60='Auto Responses'!$J$5,$L60='Auto Responses'!$J$5),'Auto Responses'!$J$5,$O60*$L60)</f>
        <v>0</v>
      </c>
      <c r="Q60" s="107">
        <f t="shared" si="1"/>
        <v>0</v>
      </c>
      <c r="R60" s="107">
        <f t="shared" si="5"/>
        <v>0</v>
      </c>
      <c r="S60" s="107">
        <f t="shared" si="2"/>
        <v>0</v>
      </c>
      <c r="T60" s="107">
        <f t="shared" si="3"/>
        <v>0</v>
      </c>
      <c r="U60" s="107">
        <f t="shared" si="6"/>
        <v>14</v>
      </c>
      <c r="V60" s="107">
        <f t="shared" si="4"/>
        <v>0</v>
      </c>
    </row>
    <row r="61" spans="1:22" ht="57" x14ac:dyDescent="0.2">
      <c r="A61" s="4" t="str">
        <f>Questions!$A61</f>
        <v>CONS-07</v>
      </c>
      <c r="B61" s="4" t="str">
        <f t="shared" si="0"/>
        <v>CONS</v>
      </c>
      <c r="C61" s="4" t="str">
        <f>VLOOKUP($A61,Questions!$A$3:$L$333,2,0)&amp;""</f>
        <v>Will the consultant require an account within the institution's domain (@*.edu)?</v>
      </c>
      <c r="D61" s="4" t="str">
        <f>VLOOKUP($A61,Questions!$A$3:$L$333,11,0)&amp;""</f>
        <v/>
      </c>
      <c r="E61" s="4" t="str">
        <f>VLOOKUP($A61,Questions!$A$3:$L$333,12,0)&amp;""</f>
        <v>Case-Specific</v>
      </c>
      <c r="F61" s="4" t="str">
        <f>VLOOKUP($A61,'Institution Evaluation'!$A$56:$K$345,3,0)&amp;""</f>
        <v/>
      </c>
      <c r="G61" s="4" t="str">
        <f>VLOOKUP($A61,'Institution Evaluation'!$A$56:$K$345,7,0)&amp;""</f>
        <v>No</v>
      </c>
      <c r="H61" s="4" t="str">
        <f>VLOOKUP($A61,'Institution Evaluation'!$A$56:$K$345,8,0)&amp;""</f>
        <v/>
      </c>
      <c r="I61" s="4" t="str">
        <f>VLOOKUP($A61,'Institution Evaluation'!$A$56:$K$345,9,0)&amp;""</f>
        <v>Standard Importance</v>
      </c>
      <c r="J61" s="4" t="str">
        <f>VLOOKUP($A61,'Institution Evaluation'!$A$56:$K$345,10,0)&amp;""</f>
        <v/>
      </c>
      <c r="K61" s="4">
        <f>IF($I61='Auto Responses'!$J$11,20,IF($I61='Auto Responses'!$J$13,5,10))</f>
        <v>10</v>
      </c>
      <c r="L61" s="107">
        <f>IF($E61='Auto Responses'!$L$13, 'Auto Responses'!$J$5,IF(AND($D61='Auto Responses'!$J$27,$H61=""),'Auto Responses'!$J$5,IF(AND($D61='Auto Responses'!$J$27,$H61='Auto Responses'!$J$7),1,IF(AND($D61='Auto Responses'!$J$27,$H61='Auto Responses'!$J$8),0,IF(OR(AND($F61=$G61,$H61=""),$H61='Auto Responses'!$J$7),1,0)))))</f>
        <v>0</v>
      </c>
      <c r="M61" s="4" t="str">
        <f>VLOOKUP($A61,'Institution Evaluation'!$A$56:$K$345,11,0)&amp;""</f>
        <v>FALSE</v>
      </c>
      <c r="N61" s="4">
        <f>IF($J61='Auto Responses'!$J$11,1,IF(AND($J61="",$I61='Auto Responses'!$J$11),1,0))</f>
        <v>0</v>
      </c>
      <c r="O61" s="107">
        <f>IF(OR($F$19='Auto Responses'!$J$4,$E61='Auto Responses'!$L$13,$F61='Auto Responses'!$J$5),'Auto Responses'!$J$5,IF($J61="",$K61,IF($J61='Auto Responses'!$J$13,5,IF($J61='Auto Responses'!$J$12,10,IF($J61='Auto Responses'!$J$11,20,0)))))</f>
        <v>10</v>
      </c>
      <c r="P61" s="107">
        <f>IF(OR($O61='Auto Responses'!$J$5,$L61='Auto Responses'!$J$5),'Auto Responses'!$J$5,$O61*$L61)</f>
        <v>0</v>
      </c>
      <c r="Q61" s="107">
        <f t="shared" si="1"/>
        <v>0</v>
      </c>
      <c r="R61" s="107">
        <f t="shared" si="5"/>
        <v>0</v>
      </c>
      <c r="S61" s="107">
        <f t="shared" si="2"/>
        <v>0</v>
      </c>
      <c r="T61" s="107">
        <f t="shared" si="3"/>
        <v>0</v>
      </c>
      <c r="U61" s="107">
        <f t="shared" si="6"/>
        <v>14</v>
      </c>
      <c r="V61" s="107">
        <f t="shared" si="4"/>
        <v>0</v>
      </c>
    </row>
    <row r="62" spans="1:22" ht="57" x14ac:dyDescent="0.2">
      <c r="A62" s="4" t="str">
        <f>Questions!$A62</f>
        <v>CONS-08</v>
      </c>
      <c r="B62" s="4" t="str">
        <f t="shared" si="0"/>
        <v>CONS</v>
      </c>
      <c r="C62" s="4" t="str">
        <f>VLOOKUP($A62,Questions!$A$3:$L$333,2,0)&amp;""</f>
        <v>Will any data be transferred to the consultant's possession?</v>
      </c>
      <c r="D62" s="4" t="str">
        <f>VLOOKUP($A62,Questions!$A$3:$L$333,11,0)&amp;""</f>
        <v/>
      </c>
      <c r="E62" s="4" t="str">
        <f>VLOOKUP($A62,Questions!$A$3:$L$333,12,0)&amp;""</f>
        <v>Case-Specific</v>
      </c>
      <c r="F62" s="4" t="str">
        <f>VLOOKUP($A62,'Institution Evaluation'!$A$56:$K$345,3,0)&amp;""</f>
        <v/>
      </c>
      <c r="G62" s="4" t="str">
        <f>VLOOKUP($A62,'Institution Evaluation'!$A$56:$K$345,7,0)&amp;""</f>
        <v>No</v>
      </c>
      <c r="H62" s="4" t="str">
        <f>VLOOKUP($A62,'Institution Evaluation'!$A$56:$K$345,8,0)&amp;""</f>
        <v/>
      </c>
      <c r="I62" s="4" t="str">
        <f>VLOOKUP($A62,'Institution Evaluation'!$A$56:$K$345,9,0)&amp;""</f>
        <v>Standard Importance</v>
      </c>
      <c r="J62" s="4" t="str">
        <f>VLOOKUP($A62,'Institution Evaluation'!$A$56:$K$345,10,0)&amp;""</f>
        <v/>
      </c>
      <c r="K62" s="4">
        <f>IF($I62='Auto Responses'!$J$11,20,IF($I62='Auto Responses'!$J$13,5,10))</f>
        <v>10</v>
      </c>
      <c r="L62" s="107">
        <f>IF($E62='Auto Responses'!$L$13, 'Auto Responses'!$J$5,IF(AND($D62='Auto Responses'!$J$27,$H62=""),'Auto Responses'!$J$5,IF(AND($D62='Auto Responses'!$J$27,$H62='Auto Responses'!$J$7),1,IF(AND($D62='Auto Responses'!$J$27,$H62='Auto Responses'!$J$8),0,IF(OR(AND($F62=$G62,$H62=""),$H62='Auto Responses'!$J$7),1,0)))))</f>
        <v>0</v>
      </c>
      <c r="M62" s="4" t="str">
        <f>VLOOKUP($A62,'Institution Evaluation'!$A$56:$K$345,11,0)&amp;""</f>
        <v>FALSE</v>
      </c>
      <c r="N62" s="4">
        <f>IF($J62='Auto Responses'!$J$11,1,IF(AND($J62="",$I62='Auto Responses'!$J$11),1,0))</f>
        <v>0</v>
      </c>
      <c r="O62" s="107">
        <f>IF(OR($F$19='Auto Responses'!$J$4,$E62='Auto Responses'!$L$13,$F62='Auto Responses'!$J$5),'Auto Responses'!$J$5,IF($J62="",$K62,IF($J62='Auto Responses'!$J$13,5,IF($J62='Auto Responses'!$J$12,10,IF($J62='Auto Responses'!$J$11,20,0)))))</f>
        <v>10</v>
      </c>
      <c r="P62" s="107">
        <f>IF(OR($O62='Auto Responses'!$J$5,$L62='Auto Responses'!$J$5),'Auto Responses'!$J$5,$O62*$L62)</f>
        <v>0</v>
      </c>
      <c r="Q62" s="107">
        <f t="shared" si="1"/>
        <v>0</v>
      </c>
      <c r="R62" s="107">
        <f t="shared" si="5"/>
        <v>0</v>
      </c>
      <c r="S62" s="107">
        <f t="shared" si="2"/>
        <v>0</v>
      </c>
      <c r="T62" s="107">
        <f t="shared" si="3"/>
        <v>0</v>
      </c>
      <c r="U62" s="107">
        <f t="shared" si="6"/>
        <v>14</v>
      </c>
      <c r="V62" s="107">
        <f t="shared" si="4"/>
        <v>0</v>
      </c>
    </row>
    <row r="63" spans="1:22" ht="57" x14ac:dyDescent="0.2">
      <c r="A63" s="4" t="str">
        <f>Questions!$A63</f>
        <v>CONS-09</v>
      </c>
      <c r="B63" s="4" t="str">
        <f t="shared" si="0"/>
        <v>CONS</v>
      </c>
      <c r="C63" s="4" t="str">
        <f>VLOOKUP($A63,Questions!$A$3:$L$333,2,0)&amp;""</f>
        <v>Will the consultant need remote access to the institution's network or systems?</v>
      </c>
      <c r="D63" s="4" t="str">
        <f>VLOOKUP($A63,Questions!$A$3:$L$333,11,0)&amp;""</f>
        <v/>
      </c>
      <c r="E63" s="4" t="str">
        <f>VLOOKUP($A63,Questions!$A$3:$L$333,12,0)&amp;""</f>
        <v>Case-Specific</v>
      </c>
      <c r="F63" s="4" t="str">
        <f>VLOOKUP($A63,'Institution Evaluation'!$A$56:$K$345,3,0)&amp;""</f>
        <v/>
      </c>
      <c r="G63" s="4" t="str">
        <f>VLOOKUP($A63,'Institution Evaluation'!$A$56:$K$345,7,0)&amp;""</f>
        <v>No</v>
      </c>
      <c r="H63" s="4" t="str">
        <f>VLOOKUP($A63,'Institution Evaluation'!$A$56:$K$345,8,0)&amp;""</f>
        <v/>
      </c>
      <c r="I63" s="4" t="str">
        <f>VLOOKUP($A63,'Institution Evaluation'!$A$56:$K$345,9,0)&amp;""</f>
        <v>Standard Importance</v>
      </c>
      <c r="J63" s="4" t="str">
        <f>VLOOKUP($A63,'Institution Evaluation'!$A$56:$K$345,10,0)&amp;""</f>
        <v/>
      </c>
      <c r="K63" s="4">
        <f>IF($I63='Auto Responses'!$J$11,20,IF($I63='Auto Responses'!$J$13,5,10))</f>
        <v>10</v>
      </c>
      <c r="L63" s="107">
        <f>IF($E63='Auto Responses'!$L$13, 'Auto Responses'!$J$5,IF(AND($D63='Auto Responses'!$J$27,$H63=""),'Auto Responses'!$J$5,IF(AND($D63='Auto Responses'!$J$27,$H63='Auto Responses'!$J$7),1,IF(AND($D63='Auto Responses'!$J$27,$H63='Auto Responses'!$J$8),0,IF(OR(AND($F63=$G63,$H63=""),$H63='Auto Responses'!$J$7),1,0)))))</f>
        <v>0</v>
      </c>
      <c r="M63" s="4" t="str">
        <f>VLOOKUP($A63,'Institution Evaluation'!$A$56:$K$345,11,0)&amp;""</f>
        <v>FALSE</v>
      </c>
      <c r="N63" s="4">
        <f>IF($J63='Auto Responses'!$J$11,1,IF(AND($J63="",$I63='Auto Responses'!$J$11),1,0))</f>
        <v>0</v>
      </c>
      <c r="O63" s="107">
        <f>IF(OR($F$19='Auto Responses'!$J$4,$E63='Auto Responses'!$L$13,$F63='Auto Responses'!$J$5),'Auto Responses'!$J$5,IF($J63="",$K63,IF($J63='Auto Responses'!$J$13,5,IF($J63='Auto Responses'!$J$12,10,IF($J63='Auto Responses'!$J$11,20,0)))))</f>
        <v>10</v>
      </c>
      <c r="P63" s="107">
        <f>IF(OR($O63='Auto Responses'!$J$5,$L63='Auto Responses'!$J$5),'Auto Responses'!$J$5,$O63*$L63)</f>
        <v>0</v>
      </c>
      <c r="Q63" s="107">
        <f t="shared" si="1"/>
        <v>0</v>
      </c>
      <c r="R63" s="107">
        <f t="shared" si="5"/>
        <v>0</v>
      </c>
      <c r="S63" s="107">
        <f t="shared" si="2"/>
        <v>0</v>
      </c>
      <c r="T63" s="107">
        <f t="shared" si="3"/>
        <v>0</v>
      </c>
      <c r="U63" s="107">
        <f t="shared" si="6"/>
        <v>14</v>
      </c>
      <c r="V63" s="107">
        <f t="shared" si="4"/>
        <v>0</v>
      </c>
    </row>
    <row r="64" spans="1:22" ht="57" x14ac:dyDescent="0.2">
      <c r="A64" s="4" t="str">
        <f>Questions!$A64</f>
        <v>APPL-01</v>
      </c>
      <c r="B64" s="4" t="str">
        <f t="shared" si="0"/>
        <v>APPL</v>
      </c>
      <c r="C64" s="4" t="str">
        <f>VLOOKUP($A64,Questions!$A$3:$L$333,2,0)&amp;""</f>
        <v>Are access controls for institutional accounts based on structured rules, such as role-based access control (RBAC), attribute-based access control (ABAC), or policy-based access control (PBAC)?*</v>
      </c>
      <c r="D64" s="4" t="str">
        <f>VLOOKUP($A64,Questions!$A$3:$L$333,11,0)&amp;""</f>
        <v/>
      </c>
      <c r="E64" s="4" t="str">
        <f>VLOOKUP($A64,Questions!$A$3:$L$333,12,0)&amp;""</f>
        <v>Infrastructure</v>
      </c>
      <c r="F64" s="4" t="str">
        <f>VLOOKUP($A64,'Institution Evaluation'!$A$56:$K$345,3,0)&amp;""</f>
        <v/>
      </c>
      <c r="G64" s="4" t="str">
        <f>VLOOKUP($A64,'Institution Evaluation'!$A$56:$K$345,7,0)&amp;""</f>
        <v>Yes</v>
      </c>
      <c r="H64" s="4" t="str">
        <f>VLOOKUP($A64,'Institution Evaluation'!$A$56:$K$345,8,0)&amp;""</f>
        <v/>
      </c>
      <c r="I64" s="4" t="str">
        <f>VLOOKUP($A64,'Institution Evaluation'!$A$56:$K$345,9,0)&amp;""</f>
        <v>Critical Importance</v>
      </c>
      <c r="J64" s="4" t="str">
        <f>VLOOKUP($A64,'Institution Evaluation'!$A$56:$K$345,10,0)&amp;""</f>
        <v/>
      </c>
      <c r="K64" s="4">
        <f>IF($I64='Auto Responses'!$J$11,20,IF($I64='Auto Responses'!$J$13,5,10))</f>
        <v>20</v>
      </c>
      <c r="L64" s="107">
        <f>IF($E64='Auto Responses'!$L$13, 'Auto Responses'!$J$5,IF(AND($D64='Auto Responses'!$J$27,$H64=""),'Auto Responses'!$J$5,IF(AND($D64='Auto Responses'!$J$27,$H64='Auto Responses'!$J$7),1,IF(AND($D64='Auto Responses'!$J$27,$H64='Auto Responses'!$J$8),0,IF(OR(AND($F64=$G64,$H64=""),$H64='Auto Responses'!$J$7),1,0)))))</f>
        <v>0</v>
      </c>
      <c r="M64" s="4" t="str">
        <f>VLOOKUP($A64,'Institution Evaluation'!$A$56:$K$345,11,0)&amp;""</f>
        <v>FALSE</v>
      </c>
      <c r="N64" s="4">
        <f>IF($J64='Auto Responses'!$J$11,1,IF(AND($J64="",$I64='Auto Responses'!$J$11),1,0))</f>
        <v>1</v>
      </c>
      <c r="O64" s="107">
        <f>IF(OR($F$17='Auto Responses'!$J$4,$E64='Auto Responses'!$L$13,$F64='Auto Responses'!$J$5),'Auto Responses'!$J$5,IF($J64="",$K64,IF($J64='Auto Responses'!$J$13,5,IF($J64='Auto Responses'!$J$12,10,IF($J64='Auto Responses'!$J$11,20,0)))))</f>
        <v>20</v>
      </c>
      <c r="P64" s="107">
        <f>IF(OR($O64='Auto Responses'!$J$5,$L64='Auto Responses'!$J$5),'Auto Responses'!$J$5,$O64*$L64)</f>
        <v>0</v>
      </c>
      <c r="Q64" s="107">
        <f t="shared" si="1"/>
        <v>0</v>
      </c>
      <c r="R64" s="107">
        <f t="shared" si="5"/>
        <v>0</v>
      </c>
      <c r="S64" s="107">
        <f t="shared" si="2"/>
        <v>0</v>
      </c>
      <c r="T64" s="107">
        <f t="shared" si="3"/>
        <v>1</v>
      </c>
      <c r="U64" s="107">
        <f t="shared" si="6"/>
        <v>15</v>
      </c>
      <c r="V64" s="107">
        <f t="shared" si="4"/>
        <v>15</v>
      </c>
    </row>
    <row r="65" spans="1:22" ht="57" x14ac:dyDescent="0.2">
      <c r="A65" s="4" t="str">
        <f>Questions!$A65</f>
        <v>APPL-02</v>
      </c>
      <c r="B65" s="4" t="str">
        <f t="shared" si="0"/>
        <v>APPL</v>
      </c>
      <c r="C65" s="4" t="str">
        <f>VLOOKUP($A65,Questions!$A$3:$L$333,2,0)&amp;""</f>
        <v>Are you using a web application firewall (WAF)?*</v>
      </c>
      <c r="D65" s="4" t="str">
        <f>VLOOKUP($A65,Questions!$A$3:$L$333,11,0)&amp;""</f>
        <v/>
      </c>
      <c r="E65" s="4" t="str">
        <f>VLOOKUP($A65,Questions!$A$3:$L$333,12,0)&amp;""</f>
        <v>Infrastructure</v>
      </c>
      <c r="F65" s="4" t="str">
        <f>VLOOKUP($A65,'Institution Evaluation'!$A$56:$K$345,3,0)&amp;""</f>
        <v/>
      </c>
      <c r="G65" s="4" t="str">
        <f>VLOOKUP($A65,'Institution Evaluation'!$A$56:$K$345,7,0)&amp;""</f>
        <v>Yes</v>
      </c>
      <c r="H65" s="4" t="str">
        <f>VLOOKUP($A65,'Institution Evaluation'!$A$56:$K$345,8,0)&amp;""</f>
        <v/>
      </c>
      <c r="I65" s="4" t="str">
        <f>VLOOKUP($A65,'Institution Evaluation'!$A$56:$K$345,9,0)&amp;""</f>
        <v>Critical Importance</v>
      </c>
      <c r="J65" s="4" t="str">
        <f>VLOOKUP($A65,'Institution Evaluation'!$A$56:$K$345,10,0)&amp;""</f>
        <v/>
      </c>
      <c r="K65" s="4">
        <f>IF($I65='Auto Responses'!$J$11,20,IF($I65='Auto Responses'!$J$13,5,10))</f>
        <v>20</v>
      </c>
      <c r="L65" s="107">
        <f>IF($E65='Auto Responses'!$L$13, 'Auto Responses'!$J$5,IF(AND($D65='Auto Responses'!$J$27,$H65=""),'Auto Responses'!$J$5,IF(AND($D65='Auto Responses'!$J$27,$H65='Auto Responses'!$J$7),1,IF(AND($D65='Auto Responses'!$J$27,$H65='Auto Responses'!$J$8),0,IF(OR(AND($F65=$G65,$H65=""),$H65='Auto Responses'!$J$7),1,0)))))</f>
        <v>0</v>
      </c>
      <c r="M65" s="4" t="str">
        <f>VLOOKUP($A65,'Institution Evaluation'!$A$56:$K$345,11,0)&amp;""</f>
        <v>FALSE</v>
      </c>
      <c r="N65" s="4">
        <f>IF($J65='Auto Responses'!$J$11,1,IF(AND($J65="",$I65='Auto Responses'!$J$11),1,0))</f>
        <v>1</v>
      </c>
      <c r="O65" s="107">
        <f>IF(OR($F$17='Auto Responses'!$J$4,$E65='Auto Responses'!$L$13,$F65='Auto Responses'!$J$5),'Auto Responses'!$J$5,IF($J65="",$K65,IF($J65='Auto Responses'!$J$13,5,IF($J65='Auto Responses'!$J$12,10,IF($J65='Auto Responses'!$J$11,20,0)))))</f>
        <v>20</v>
      </c>
      <c r="P65" s="107">
        <f>IF(OR($O65='Auto Responses'!$J$5,$L65='Auto Responses'!$J$5),'Auto Responses'!$J$5,$O65*$L65)</f>
        <v>0</v>
      </c>
      <c r="Q65" s="107">
        <f t="shared" si="1"/>
        <v>0</v>
      </c>
      <c r="R65" s="107">
        <f t="shared" si="5"/>
        <v>0</v>
      </c>
      <c r="S65" s="107">
        <f t="shared" si="2"/>
        <v>0</v>
      </c>
      <c r="T65" s="107">
        <f t="shared" si="3"/>
        <v>1</v>
      </c>
      <c r="U65" s="107">
        <f t="shared" si="6"/>
        <v>16</v>
      </c>
      <c r="V65" s="107">
        <f t="shared" si="4"/>
        <v>16</v>
      </c>
    </row>
    <row r="66" spans="1:22" ht="57" x14ac:dyDescent="0.2">
      <c r="A66" s="4" t="str">
        <f>Questions!$A66</f>
        <v>APPL-03</v>
      </c>
      <c r="B66" s="4" t="str">
        <f t="shared" si="0"/>
        <v>APPL</v>
      </c>
      <c r="C66" s="4" t="str">
        <f>VLOOKUP($A66,Questions!$A$3:$L$333,2,0)&amp;""</f>
        <v>Are only currently supported operating system(s), software, and libraries leveraged by the system(s)/application(s) that will have access to institution's data?*</v>
      </c>
      <c r="D66" s="4" t="str">
        <f>VLOOKUP($A66,Questions!$A$3:$L$333,11,0)&amp;""</f>
        <v/>
      </c>
      <c r="E66" s="4" t="str">
        <f>VLOOKUP($A66,Questions!$A$3:$L$333,12,0)&amp;""</f>
        <v>Infrastructure</v>
      </c>
      <c r="F66" s="4" t="str">
        <f>VLOOKUP($A66,'Institution Evaluation'!$A$56:$K$345,3,0)&amp;""</f>
        <v/>
      </c>
      <c r="G66" s="4" t="str">
        <f>VLOOKUP($A66,'Institution Evaluation'!$A$56:$K$345,7,0)&amp;""</f>
        <v>Yes</v>
      </c>
      <c r="H66" s="4" t="str">
        <f>VLOOKUP($A66,'Institution Evaluation'!$A$56:$K$345,8,0)&amp;""</f>
        <v/>
      </c>
      <c r="I66" s="4" t="str">
        <f>VLOOKUP($A66,'Institution Evaluation'!$A$56:$K$345,9,0)&amp;""</f>
        <v>Critical Importance</v>
      </c>
      <c r="J66" s="4" t="str">
        <f>VLOOKUP($A66,'Institution Evaluation'!$A$56:$K$345,10,0)&amp;""</f>
        <v/>
      </c>
      <c r="K66" s="4">
        <f>IF($I66='Auto Responses'!$J$11,20,IF($I66='Auto Responses'!$J$13,5,10))</f>
        <v>20</v>
      </c>
      <c r="L66" s="107">
        <f>IF($E66='Auto Responses'!$L$13, 'Auto Responses'!$J$5,IF(AND($D66='Auto Responses'!$J$27,$H66=""),'Auto Responses'!$J$5,IF(AND($D66='Auto Responses'!$J$27,$H66='Auto Responses'!$J$7),1,IF(AND($D66='Auto Responses'!$J$27,$H66='Auto Responses'!$J$8),0,IF(OR(AND($F66=$G66,$H66=""),$H66='Auto Responses'!$J$7),1,0)))))</f>
        <v>0</v>
      </c>
      <c r="M66" s="4" t="str">
        <f>VLOOKUP($A66,'Institution Evaluation'!$A$56:$K$345,11,0)&amp;""</f>
        <v>FALSE</v>
      </c>
      <c r="N66" s="4">
        <f>IF($J66='Auto Responses'!$J$11,1,IF(AND($J66="",$I66='Auto Responses'!$J$11),1,0))</f>
        <v>1</v>
      </c>
      <c r="O66" s="107">
        <f>IF(OR($F$17='Auto Responses'!$J$4,$E66='Auto Responses'!$L$13,$F66='Auto Responses'!$J$5),'Auto Responses'!$J$5,IF($J66="",$K66,IF($J66='Auto Responses'!$J$13,5,IF($J66='Auto Responses'!$J$12,10,IF($J66='Auto Responses'!$J$11,20,0)))))</f>
        <v>20</v>
      </c>
      <c r="P66" s="107">
        <f>IF(OR($O66='Auto Responses'!$J$5,$L66='Auto Responses'!$J$5),'Auto Responses'!$J$5,$O66*$L66)</f>
        <v>0</v>
      </c>
      <c r="Q66" s="107">
        <f t="shared" si="1"/>
        <v>0</v>
      </c>
      <c r="R66" s="107">
        <f t="shared" si="5"/>
        <v>0</v>
      </c>
      <c r="S66" s="107">
        <f t="shared" si="2"/>
        <v>0</v>
      </c>
      <c r="T66" s="107">
        <f t="shared" si="3"/>
        <v>1</v>
      </c>
      <c r="U66" s="107">
        <f t="shared" si="6"/>
        <v>17</v>
      </c>
      <c r="V66" s="107">
        <f t="shared" si="4"/>
        <v>17</v>
      </c>
    </row>
    <row r="67" spans="1:22" ht="57" x14ac:dyDescent="0.2">
      <c r="A67" s="4" t="str">
        <f>Questions!$A67</f>
        <v>APPL-04</v>
      </c>
      <c r="B67" s="4" t="str">
        <f t="shared" si="0"/>
        <v>APPL</v>
      </c>
      <c r="C67" s="4" t="str">
        <f>VLOOKUP($A67,Questions!$A$3:$L$333,2,0)&amp;""</f>
        <v>Does your application require access to location or GPS data?*</v>
      </c>
      <c r="D67" s="4" t="str">
        <f>VLOOKUP($A67,Questions!$A$3:$L$333,11,0)&amp;""</f>
        <v/>
      </c>
      <c r="E67" s="4" t="str">
        <f>VLOOKUP($A67,Questions!$A$3:$L$333,12,0)&amp;""</f>
        <v>Infrastructure</v>
      </c>
      <c r="F67" s="4" t="str">
        <f>VLOOKUP($A67,'Institution Evaluation'!$A$56:$K$345,3,0)&amp;""</f>
        <v/>
      </c>
      <c r="G67" s="4" t="str">
        <f>VLOOKUP($A67,'Institution Evaluation'!$A$56:$K$345,7,0)&amp;""</f>
        <v>No</v>
      </c>
      <c r="H67" s="4" t="str">
        <f>VLOOKUP($A67,'Institution Evaluation'!$A$56:$K$345,8,0)&amp;""</f>
        <v/>
      </c>
      <c r="I67" s="4" t="str">
        <f>VLOOKUP($A67,'Institution Evaluation'!$A$56:$K$345,9,0)&amp;""</f>
        <v>Critical Importance</v>
      </c>
      <c r="J67" s="4" t="str">
        <f>VLOOKUP($A67,'Institution Evaluation'!$A$56:$K$345,10,0)&amp;""</f>
        <v/>
      </c>
      <c r="K67" s="4">
        <f>IF($I67='Auto Responses'!$J$11,20,IF($I67='Auto Responses'!$J$13,5,10))</f>
        <v>20</v>
      </c>
      <c r="L67" s="107">
        <f>IF($E67='Auto Responses'!$L$13, 'Auto Responses'!$J$5,IF(AND($D67='Auto Responses'!$J$27,$H67=""),'Auto Responses'!$J$5,IF(AND($D67='Auto Responses'!$J$27,$H67='Auto Responses'!$J$7),1,IF(AND($D67='Auto Responses'!$J$27,$H67='Auto Responses'!$J$8),0,IF(OR(AND($F67=$G67,$H67=""),$H67='Auto Responses'!$J$7),1,0)))))</f>
        <v>0</v>
      </c>
      <c r="M67" s="4" t="str">
        <f>VLOOKUP($A67,'Institution Evaluation'!$A$56:$K$345,11,0)&amp;""</f>
        <v>FALSE</v>
      </c>
      <c r="N67" s="4">
        <f>IF($J67='Auto Responses'!$J$11,1,IF(AND($J67="",$I67='Auto Responses'!$J$11),1,0))</f>
        <v>1</v>
      </c>
      <c r="O67" s="107">
        <f>IF(OR($F$17='Auto Responses'!$J$4,$E67='Auto Responses'!$L$13,$F67='Auto Responses'!$J$5),'Auto Responses'!$J$5,IF($J67="",$K67,IF($J67='Auto Responses'!$J$13,5,IF($J67='Auto Responses'!$J$12,10,IF($J67='Auto Responses'!$J$11,20,0)))))</f>
        <v>20</v>
      </c>
      <c r="P67" s="107">
        <f>IF(OR($O67='Auto Responses'!$J$5,$L67='Auto Responses'!$J$5),'Auto Responses'!$J$5,$O67*$L67)</f>
        <v>0</v>
      </c>
      <c r="Q67" s="107">
        <f t="shared" ref="Q67:Q129" si="7">IF(M67="TRUE",1,0)</f>
        <v>0</v>
      </c>
      <c r="R67" s="107">
        <f t="shared" si="5"/>
        <v>0</v>
      </c>
      <c r="S67" s="107">
        <f t="shared" ref="S67:S129" si="8">IF(Q67=0,0,R67)</f>
        <v>0</v>
      </c>
      <c r="T67" s="107">
        <f t="shared" ref="T67:T129" si="9">IF(N67=1,1,0)</f>
        <v>1</v>
      </c>
      <c r="U67" s="107">
        <f t="shared" si="6"/>
        <v>18</v>
      </c>
      <c r="V67" s="107">
        <f t="shared" ref="V67:V129" si="10">IF(T67=0,0,U67)</f>
        <v>18</v>
      </c>
    </row>
    <row r="68" spans="1:22" ht="57" x14ac:dyDescent="0.2">
      <c r="A68" s="4" t="str">
        <f>Questions!$A68</f>
        <v>APPL-05</v>
      </c>
      <c r="B68" s="4" t="str">
        <f t="shared" ref="B68:B130" si="11">LEFT(A68,4)</f>
        <v>APPL</v>
      </c>
      <c r="C68" s="4" t="str">
        <f>VLOOKUP($A68,Questions!$A$3:$L$333,2,0)&amp;""</f>
        <v>Does your application provide separation of duties between security administration, system administration, and standard user functions?*</v>
      </c>
      <c r="D68" s="4" t="str">
        <f>VLOOKUP($A68,Questions!$A$3:$L$333,11,0)&amp;""</f>
        <v/>
      </c>
      <c r="E68" s="4" t="str">
        <f>VLOOKUP($A68,Questions!$A$3:$L$333,12,0)&amp;""</f>
        <v>Infrastructure</v>
      </c>
      <c r="F68" s="4" t="str">
        <f>VLOOKUP($A68,'Institution Evaluation'!$A$56:$K$345,3,0)&amp;""</f>
        <v/>
      </c>
      <c r="G68" s="4" t="str">
        <f>VLOOKUP($A68,'Institution Evaluation'!$A$56:$K$345,7,0)&amp;""</f>
        <v>Yes</v>
      </c>
      <c r="H68" s="4" t="str">
        <f>VLOOKUP($A68,'Institution Evaluation'!$A$56:$K$345,8,0)&amp;""</f>
        <v/>
      </c>
      <c r="I68" s="4" t="str">
        <f>VLOOKUP($A68,'Institution Evaluation'!$A$56:$K$345,9,0)&amp;""</f>
        <v>Critical Importance</v>
      </c>
      <c r="J68" s="4" t="str">
        <f>VLOOKUP($A68,'Institution Evaluation'!$A$56:$K$345,10,0)&amp;""</f>
        <v/>
      </c>
      <c r="K68" s="4">
        <f>IF($I68='Auto Responses'!$J$11,20,IF($I68='Auto Responses'!$J$13,5,10))</f>
        <v>20</v>
      </c>
      <c r="L68" s="107">
        <f>IF($E68='Auto Responses'!$L$13, 'Auto Responses'!$J$5,IF(AND($D68='Auto Responses'!$J$27,$H68=""),'Auto Responses'!$J$5,IF(AND($D68='Auto Responses'!$J$27,$H68='Auto Responses'!$J$7),1,IF(AND($D68='Auto Responses'!$J$27,$H68='Auto Responses'!$J$8),0,IF(OR(AND($F68=$G68,$H68=""),$H68='Auto Responses'!$J$7),1,0)))))</f>
        <v>0</v>
      </c>
      <c r="M68" s="4" t="str">
        <f>VLOOKUP($A68,'Institution Evaluation'!$A$56:$K$345,11,0)&amp;""</f>
        <v>FALSE</v>
      </c>
      <c r="N68" s="4">
        <f>IF($J68='Auto Responses'!$J$11,1,IF(AND($J68="",$I68='Auto Responses'!$J$11),1,0))</f>
        <v>1</v>
      </c>
      <c r="O68" s="107">
        <f>IF(OR($F$17='Auto Responses'!$J$4,$E68='Auto Responses'!$L$13,$F68='Auto Responses'!$J$5),'Auto Responses'!$J$5,IF($J68="",$K68,IF($J68='Auto Responses'!$J$13,5,IF($J68='Auto Responses'!$J$12,10,IF($J68='Auto Responses'!$J$11,20,0)))))</f>
        <v>20</v>
      </c>
      <c r="P68" s="107">
        <f>IF(OR($O68='Auto Responses'!$J$5,$L68='Auto Responses'!$J$5),'Auto Responses'!$J$5,$O68*$L68)</f>
        <v>0</v>
      </c>
      <c r="Q68" s="107">
        <f t="shared" si="7"/>
        <v>0</v>
      </c>
      <c r="R68" s="107">
        <f t="shared" si="5"/>
        <v>0</v>
      </c>
      <c r="S68" s="107">
        <f t="shared" si="8"/>
        <v>0</v>
      </c>
      <c r="T68" s="107">
        <f t="shared" si="9"/>
        <v>1</v>
      </c>
      <c r="U68" s="107">
        <f t="shared" si="6"/>
        <v>19</v>
      </c>
      <c r="V68" s="107">
        <f t="shared" si="10"/>
        <v>19</v>
      </c>
    </row>
    <row r="69" spans="1:22" ht="57" x14ac:dyDescent="0.2">
      <c r="A69" s="4" t="str">
        <f>Questions!$A69</f>
        <v>APPL-06</v>
      </c>
      <c r="B69" s="4" t="str">
        <f t="shared" si="11"/>
        <v>APPL</v>
      </c>
      <c r="C69" s="4" t="str">
        <f>VLOOKUP($A69,Questions!$A$3:$L$333,2,0)&amp;""</f>
        <v>Do you subject your code to static code analysis and/or static application security testing prior to release?*</v>
      </c>
      <c r="D69" s="4" t="str">
        <f>VLOOKUP($A69,Questions!$A$3:$L$333,11,0)&amp;""</f>
        <v/>
      </c>
      <c r="E69" s="4" t="str">
        <f>VLOOKUP($A69,Questions!$A$3:$L$333,12,0)&amp;""</f>
        <v>Infrastructure</v>
      </c>
      <c r="F69" s="4" t="str">
        <f>VLOOKUP($A69,'Institution Evaluation'!$A$56:$K$345,3,0)&amp;""</f>
        <v/>
      </c>
      <c r="G69" s="4" t="str">
        <f>VLOOKUP($A69,'Institution Evaluation'!$A$56:$K$345,7,0)&amp;""</f>
        <v>Yes</v>
      </c>
      <c r="H69" s="4" t="str">
        <f>VLOOKUP($A69,'Institution Evaluation'!$A$56:$K$345,8,0)&amp;""</f>
        <v/>
      </c>
      <c r="I69" s="4" t="str">
        <f>VLOOKUP($A69,'Institution Evaluation'!$A$56:$K$345,9,0)&amp;""</f>
        <v>Critical Importance</v>
      </c>
      <c r="J69" s="4" t="str">
        <f>VLOOKUP($A69,'Institution Evaluation'!$A$56:$K$345,10,0)&amp;""</f>
        <v/>
      </c>
      <c r="K69" s="4">
        <f>IF($I69='Auto Responses'!$J$11,20,IF($I69='Auto Responses'!$J$13,5,10))</f>
        <v>20</v>
      </c>
      <c r="L69" s="107">
        <f>IF($E69='Auto Responses'!$L$13, 'Auto Responses'!$J$5,IF(AND($D69='Auto Responses'!$J$27,$H69=""),'Auto Responses'!$J$5,IF(AND($D69='Auto Responses'!$J$27,$H69='Auto Responses'!$J$7),1,IF(AND($D69='Auto Responses'!$J$27,$H69='Auto Responses'!$J$8),0,IF(OR(AND($F69=$G69,$H69=""),$H69='Auto Responses'!$J$7),1,0)))))</f>
        <v>0</v>
      </c>
      <c r="M69" s="4" t="str">
        <f>VLOOKUP($A69,'Institution Evaluation'!$A$56:$K$345,11,0)&amp;""</f>
        <v>FALSE</v>
      </c>
      <c r="N69" s="4">
        <f>IF($J69='Auto Responses'!$J$11,1,IF(AND($J69="",$I69='Auto Responses'!$J$11),1,0))</f>
        <v>1</v>
      </c>
      <c r="O69" s="107">
        <f>IF(OR($F$17='Auto Responses'!$J$4,$E69='Auto Responses'!$L$13,$F69='Auto Responses'!$J$5),'Auto Responses'!$J$5,IF($J69="",$K69,IF($J69='Auto Responses'!$J$13,5,IF($J69='Auto Responses'!$J$12,10,IF($J69='Auto Responses'!$J$11,20,0)))))</f>
        <v>20</v>
      </c>
      <c r="P69" s="107">
        <f>IF(OR($O69='Auto Responses'!$J$5,$L69='Auto Responses'!$J$5),'Auto Responses'!$J$5,$O69*$L69)</f>
        <v>0</v>
      </c>
      <c r="Q69" s="107">
        <f t="shared" si="7"/>
        <v>0</v>
      </c>
      <c r="R69" s="107">
        <f t="shared" ref="R69:R132" si="12">R68+Q69</f>
        <v>0</v>
      </c>
      <c r="S69" s="107">
        <f t="shared" si="8"/>
        <v>0</v>
      </c>
      <c r="T69" s="107">
        <f t="shared" si="9"/>
        <v>1</v>
      </c>
      <c r="U69" s="107">
        <f t="shared" ref="U69:U132" si="13">U68+T69</f>
        <v>20</v>
      </c>
      <c r="V69" s="107">
        <f t="shared" si="10"/>
        <v>20</v>
      </c>
    </row>
    <row r="70" spans="1:22" ht="57" x14ac:dyDescent="0.2">
      <c r="A70" s="4" t="str">
        <f>Questions!$A70</f>
        <v>APPL-07</v>
      </c>
      <c r="B70" s="4" t="str">
        <f t="shared" si="11"/>
        <v>APPL</v>
      </c>
      <c r="C70" s="4" t="str">
        <f>VLOOKUP($A70,Questions!$A$3:$L$333,2,0)&amp;""</f>
        <v>Do you have software testing processes (dynamic or static) that are established and followed?*</v>
      </c>
      <c r="D70" s="4" t="str">
        <f>VLOOKUP($A70,Questions!$A$3:$L$333,11,0)&amp;""</f>
        <v/>
      </c>
      <c r="E70" s="4" t="str">
        <f>VLOOKUP($A70,Questions!$A$3:$L$333,12,0)&amp;""</f>
        <v>Infrastructure</v>
      </c>
      <c r="F70" s="4" t="str">
        <f>VLOOKUP($A70,'Institution Evaluation'!$A$56:$K$345,3,0)&amp;""</f>
        <v/>
      </c>
      <c r="G70" s="4" t="str">
        <f>VLOOKUP($A70,'Institution Evaluation'!$A$56:$K$345,7,0)&amp;""</f>
        <v>Yes</v>
      </c>
      <c r="H70" s="4" t="str">
        <f>VLOOKUP($A70,'Institution Evaluation'!$A$56:$K$345,8,0)&amp;""</f>
        <v/>
      </c>
      <c r="I70" s="4" t="str">
        <f>VLOOKUP($A70,'Institution Evaluation'!$A$56:$K$345,9,0)&amp;""</f>
        <v>Critical Importance</v>
      </c>
      <c r="J70" s="4" t="str">
        <f>VLOOKUP($A70,'Institution Evaluation'!$A$56:$K$345,10,0)&amp;""</f>
        <v/>
      </c>
      <c r="K70" s="4">
        <f>IF($I70='Auto Responses'!$J$11,20,IF($I70='Auto Responses'!$J$13,5,10))</f>
        <v>20</v>
      </c>
      <c r="L70" s="107">
        <f>IF($E70='Auto Responses'!$L$13, 'Auto Responses'!$J$5,IF(AND($D70='Auto Responses'!$J$27,$H70=""),'Auto Responses'!$J$5,IF(AND($D70='Auto Responses'!$J$27,$H70='Auto Responses'!$J$7),1,IF(AND($D70='Auto Responses'!$J$27,$H70='Auto Responses'!$J$8),0,IF(OR(AND($F70=$G70,$H70=""),$H70='Auto Responses'!$J$7),1,0)))))</f>
        <v>0</v>
      </c>
      <c r="M70" s="4" t="str">
        <f>VLOOKUP($A70,'Institution Evaluation'!$A$56:$K$345,11,0)&amp;""</f>
        <v>FALSE</v>
      </c>
      <c r="N70" s="4">
        <f>IF($J70='Auto Responses'!$J$11,1,IF(AND($J70="",$I70='Auto Responses'!$J$11),1,0))</f>
        <v>1</v>
      </c>
      <c r="O70" s="107">
        <f>IF(OR($F$17='Auto Responses'!$J$4,$E70='Auto Responses'!$L$13,$F70='Auto Responses'!$J$5),'Auto Responses'!$J$5,IF($J70="",$K70,IF($J70='Auto Responses'!$J$13,5,IF($J70='Auto Responses'!$J$12,10,IF($J70='Auto Responses'!$J$11,20,0)))))</f>
        <v>20</v>
      </c>
      <c r="P70" s="107">
        <f>IF(OR($O70='Auto Responses'!$J$5,$L70='Auto Responses'!$J$5),'Auto Responses'!$J$5,$O70*$L70)</f>
        <v>0</v>
      </c>
      <c r="Q70" s="107">
        <f t="shared" si="7"/>
        <v>0</v>
      </c>
      <c r="R70" s="107">
        <f t="shared" si="12"/>
        <v>0</v>
      </c>
      <c r="S70" s="107">
        <f t="shared" si="8"/>
        <v>0</v>
      </c>
      <c r="T70" s="107">
        <f t="shared" si="9"/>
        <v>1</v>
      </c>
      <c r="U70" s="107">
        <f t="shared" si="13"/>
        <v>21</v>
      </c>
      <c r="V70" s="107">
        <f t="shared" si="10"/>
        <v>21</v>
      </c>
    </row>
    <row r="71" spans="1:22" ht="57" x14ac:dyDescent="0.2">
      <c r="A71" s="4" t="str">
        <f>Questions!$A71</f>
        <v>APPL-08</v>
      </c>
      <c r="B71" s="4" t="str">
        <f t="shared" si="11"/>
        <v>APPL</v>
      </c>
      <c r="C71" s="4" t="str">
        <f>VLOOKUP($A71,Questions!$A$3:$L$333,2,0)&amp;""</f>
        <v>Are access controls for staff within your organization based on structured rules, such as RBAC, ABAC, or PBAC?</v>
      </c>
      <c r="D71" s="4" t="str">
        <f>VLOOKUP($A71,Questions!$A$3:$L$333,11,0)&amp;""</f>
        <v/>
      </c>
      <c r="E71" s="4" t="str">
        <f>VLOOKUP($A71,Questions!$A$3:$L$333,12,0)&amp;""</f>
        <v>Infrastructure</v>
      </c>
      <c r="F71" s="4" t="str">
        <f>VLOOKUP($A71,'Institution Evaluation'!$A$56:$K$345,3,0)&amp;""</f>
        <v/>
      </c>
      <c r="G71" s="4" t="str">
        <f>VLOOKUP($A71,'Institution Evaluation'!$A$56:$K$345,7,0)&amp;""</f>
        <v>Yes</v>
      </c>
      <c r="H71" s="4" t="str">
        <f>VLOOKUP($A71,'Institution Evaluation'!$A$56:$K$345,8,0)&amp;""</f>
        <v/>
      </c>
      <c r="I71" s="4" t="str">
        <f>VLOOKUP($A71,'Institution Evaluation'!$A$56:$K$345,9,0)&amp;""</f>
        <v>Standard Importance</v>
      </c>
      <c r="J71" s="4" t="str">
        <f>VLOOKUP($A71,'Institution Evaluation'!$A$56:$K$345,10,0)&amp;""</f>
        <v/>
      </c>
      <c r="K71" s="4">
        <f>IF($I71='Auto Responses'!$J$11,20,IF($I71='Auto Responses'!$J$13,5,10))</f>
        <v>10</v>
      </c>
      <c r="L71" s="107">
        <f>IF($E71='Auto Responses'!$L$13, 'Auto Responses'!$J$5,IF(AND($D71='Auto Responses'!$J$27,$H71=""),'Auto Responses'!$J$5,IF(AND($D71='Auto Responses'!$J$27,$H71='Auto Responses'!$J$7),1,IF(AND($D71='Auto Responses'!$J$27,$H71='Auto Responses'!$J$8),0,IF(OR(AND($F71=$G71,$H71=""),$H71='Auto Responses'!$J$7),1,0)))))</f>
        <v>0</v>
      </c>
      <c r="M71" s="4" t="str">
        <f>VLOOKUP($A71,'Institution Evaluation'!$A$56:$K$345,11,0)&amp;""</f>
        <v>FALSE</v>
      </c>
      <c r="N71" s="4">
        <f>IF($J71='Auto Responses'!$J$11,1,IF(AND($J71="",$I71='Auto Responses'!$J$11),1,0))</f>
        <v>0</v>
      </c>
      <c r="O71" s="107">
        <f>IF(OR($F$17='Auto Responses'!$J$4,$E71='Auto Responses'!$L$13,$F71='Auto Responses'!$J$5),'Auto Responses'!$J$5,IF($J71="",$K71,IF($J71='Auto Responses'!$J$13,5,IF($J71='Auto Responses'!$J$12,10,IF($J71='Auto Responses'!$J$11,20,0)))))</f>
        <v>10</v>
      </c>
      <c r="P71" s="107">
        <f>IF(OR($O71='Auto Responses'!$J$5,$L71='Auto Responses'!$J$5),'Auto Responses'!$J$5,$O71*$L71)</f>
        <v>0</v>
      </c>
      <c r="Q71" s="107">
        <f t="shared" si="7"/>
        <v>0</v>
      </c>
      <c r="R71" s="107">
        <f t="shared" si="12"/>
        <v>0</v>
      </c>
      <c r="S71" s="107">
        <f t="shared" si="8"/>
        <v>0</v>
      </c>
      <c r="T71" s="107">
        <f t="shared" si="9"/>
        <v>0</v>
      </c>
      <c r="U71" s="107">
        <f t="shared" si="13"/>
        <v>21</v>
      </c>
      <c r="V71" s="107">
        <f t="shared" si="10"/>
        <v>0</v>
      </c>
    </row>
    <row r="72" spans="1:22" ht="57" x14ac:dyDescent="0.2">
      <c r="A72" s="4" t="str">
        <f>Questions!$A72</f>
        <v>APPL-09</v>
      </c>
      <c r="B72" s="4" t="str">
        <f t="shared" si="11"/>
        <v>APPL</v>
      </c>
      <c r="C72" s="4" t="str">
        <f>VLOOKUP($A72,Questions!$A$3:$L$333,2,0)&amp;""</f>
        <v>Does the system provide data input validation and error messages?</v>
      </c>
      <c r="D72" s="4" t="str">
        <f>VLOOKUP($A72,Questions!$A$3:$L$333,11,0)&amp;""</f>
        <v/>
      </c>
      <c r="E72" s="4" t="str">
        <f>VLOOKUP($A72,Questions!$A$3:$L$333,12,0)&amp;""</f>
        <v>Infrastructure</v>
      </c>
      <c r="F72" s="4" t="str">
        <f>VLOOKUP($A72,'Institution Evaluation'!$A$56:$K$345,3,0)&amp;""</f>
        <v/>
      </c>
      <c r="G72" s="4" t="str">
        <f>VLOOKUP($A72,'Institution Evaluation'!$A$56:$K$345,7,0)&amp;""</f>
        <v>Yes</v>
      </c>
      <c r="H72" s="4" t="str">
        <f>VLOOKUP($A72,'Institution Evaluation'!$A$56:$K$345,8,0)&amp;""</f>
        <v/>
      </c>
      <c r="I72" s="4" t="str">
        <f>VLOOKUP($A72,'Institution Evaluation'!$A$56:$K$345,9,0)&amp;""</f>
        <v>Standard Importance</v>
      </c>
      <c r="J72" s="4" t="str">
        <f>VLOOKUP($A72,'Institution Evaluation'!$A$56:$K$345,10,0)&amp;""</f>
        <v/>
      </c>
      <c r="K72" s="4">
        <f>IF($I72='Auto Responses'!$J$11,20,IF($I72='Auto Responses'!$J$13,5,10))</f>
        <v>10</v>
      </c>
      <c r="L72" s="107">
        <f>IF($E72='Auto Responses'!$L$13, 'Auto Responses'!$J$5,IF(AND($D72='Auto Responses'!$J$27,$H72=""),'Auto Responses'!$J$5,IF(AND($D72='Auto Responses'!$J$27,$H72='Auto Responses'!$J$7),1,IF(AND($D72='Auto Responses'!$J$27,$H72='Auto Responses'!$J$8),0,IF(OR(AND($F72=$G72,$H72=""),$H72='Auto Responses'!$J$7),1,0)))))</f>
        <v>0</v>
      </c>
      <c r="M72" s="4" t="str">
        <f>VLOOKUP($A72,'Institution Evaluation'!$A$56:$K$345,11,0)&amp;""</f>
        <v>FALSE</v>
      </c>
      <c r="N72" s="4">
        <f>IF($J72='Auto Responses'!$J$11,1,IF(AND($J72="",$I72='Auto Responses'!$J$11),1,0))</f>
        <v>0</v>
      </c>
      <c r="O72" s="107">
        <f>IF(OR($F$17='Auto Responses'!$J$4,$E72='Auto Responses'!$L$13,$F72='Auto Responses'!$J$5),'Auto Responses'!$J$5,IF($J72="",$K72,IF($J72='Auto Responses'!$J$13,5,IF($J72='Auto Responses'!$J$12,10,IF($J72='Auto Responses'!$J$11,20,0)))))</f>
        <v>10</v>
      </c>
      <c r="P72" s="107">
        <f>IF(OR($O72='Auto Responses'!$J$5,$L72='Auto Responses'!$J$5),'Auto Responses'!$J$5,$O72*$L72)</f>
        <v>0</v>
      </c>
      <c r="Q72" s="107">
        <f t="shared" si="7"/>
        <v>0</v>
      </c>
      <c r="R72" s="107">
        <f t="shared" si="12"/>
        <v>0</v>
      </c>
      <c r="S72" s="107">
        <f t="shared" si="8"/>
        <v>0</v>
      </c>
      <c r="T72" s="107">
        <f t="shared" si="9"/>
        <v>0</v>
      </c>
      <c r="U72" s="107">
        <f t="shared" si="13"/>
        <v>21</v>
      </c>
      <c r="V72" s="107">
        <f t="shared" si="10"/>
        <v>0</v>
      </c>
    </row>
    <row r="73" spans="1:22" ht="57" x14ac:dyDescent="0.2">
      <c r="A73" s="4" t="str">
        <f>Questions!$A73</f>
        <v>APPL-10</v>
      </c>
      <c r="B73" s="4" t="str">
        <f t="shared" si="11"/>
        <v>APPL</v>
      </c>
      <c r="C73" s="4" t="str">
        <f>VLOOKUP($A73,Questions!$A$3:$L$333,2,0)&amp;""</f>
        <v>Do you have a process and implemented procedures for managing your software supply chain (e.g., libraries, repositories, frameworks, etc.)?</v>
      </c>
      <c r="D73" s="4" t="str">
        <f>VLOOKUP($A73,Questions!$A$3:$L$333,11,0)&amp;""</f>
        <v/>
      </c>
      <c r="E73" s="4" t="str">
        <f>VLOOKUP($A73,Questions!$A$3:$L$333,12,0)&amp;""</f>
        <v>Infrastructure</v>
      </c>
      <c r="F73" s="4" t="str">
        <f>VLOOKUP($A73,'Institution Evaluation'!$A$56:$K$345,3,0)&amp;""</f>
        <v/>
      </c>
      <c r="G73" s="4" t="str">
        <f>VLOOKUP($A73,'Institution Evaluation'!$A$56:$K$345,7,0)&amp;""</f>
        <v>Yes</v>
      </c>
      <c r="H73" s="4" t="str">
        <f>VLOOKUP($A73,'Institution Evaluation'!$A$56:$K$345,8,0)&amp;""</f>
        <v/>
      </c>
      <c r="I73" s="4" t="str">
        <f>VLOOKUP($A73,'Institution Evaluation'!$A$56:$K$345,9,0)&amp;""</f>
        <v>Standard Importance</v>
      </c>
      <c r="J73" s="4" t="str">
        <f>VLOOKUP($A73,'Institution Evaluation'!$A$56:$K$345,10,0)&amp;""</f>
        <v/>
      </c>
      <c r="K73" s="4">
        <f>IF($I73='Auto Responses'!$J$11,20,IF($I73='Auto Responses'!$J$13,5,10))</f>
        <v>10</v>
      </c>
      <c r="L73" s="107">
        <f>IF($E73='Auto Responses'!$L$13, 'Auto Responses'!$J$5,IF(AND($D73='Auto Responses'!$J$27,$H73=""),'Auto Responses'!$J$5,IF(AND($D73='Auto Responses'!$J$27,$H73='Auto Responses'!$J$7),1,IF(AND($D73='Auto Responses'!$J$27,$H73='Auto Responses'!$J$8),0,IF(OR(AND($F73=$G73,$H73=""),$H73='Auto Responses'!$J$7),1,0)))))</f>
        <v>0</v>
      </c>
      <c r="M73" s="4" t="str">
        <f>VLOOKUP($A73,'Institution Evaluation'!$A$56:$K$345,11,0)&amp;""</f>
        <v>FALSE</v>
      </c>
      <c r="N73" s="4">
        <f>IF($J73='Auto Responses'!$J$11,1,IF(AND($J73="",$I73='Auto Responses'!$J$11),1,0))</f>
        <v>0</v>
      </c>
      <c r="O73" s="107">
        <f>IF(OR($F$17='Auto Responses'!$J$4,$E73='Auto Responses'!$L$13,$F73='Auto Responses'!$J$5),'Auto Responses'!$J$5,IF($J73="",$K73,IF($J73='Auto Responses'!$J$13,5,IF($J73='Auto Responses'!$J$12,10,IF($J73='Auto Responses'!$J$11,20,0)))))</f>
        <v>10</v>
      </c>
      <c r="P73" s="107">
        <f>IF(OR($O73='Auto Responses'!$J$5,$L73='Auto Responses'!$J$5),'Auto Responses'!$J$5,$O73*$L73)</f>
        <v>0</v>
      </c>
      <c r="Q73" s="107">
        <f t="shared" si="7"/>
        <v>0</v>
      </c>
      <c r="R73" s="107">
        <f t="shared" si="12"/>
        <v>0</v>
      </c>
      <c r="S73" s="107">
        <f t="shared" si="8"/>
        <v>0</v>
      </c>
      <c r="T73" s="107">
        <f t="shared" si="9"/>
        <v>0</v>
      </c>
      <c r="U73" s="107">
        <f t="shared" si="13"/>
        <v>21</v>
      </c>
      <c r="V73" s="107">
        <f t="shared" si="10"/>
        <v>0</v>
      </c>
    </row>
    <row r="74" spans="1:22" ht="57" x14ac:dyDescent="0.2">
      <c r="A74" s="4" t="str">
        <f>Questions!$A74</f>
        <v>APPL-11</v>
      </c>
      <c r="B74" s="4" t="str">
        <f t="shared" si="11"/>
        <v>APPL</v>
      </c>
      <c r="C74" s="4" t="str">
        <f>VLOOKUP($A74,Questions!$A$3:$L$333,2,0)&amp;""</f>
        <v>Have your developers been trained in secure coding techniques?</v>
      </c>
      <c r="D74" s="4" t="str">
        <f>VLOOKUP($A74,Questions!$A$3:$L$333,11,0)&amp;""</f>
        <v/>
      </c>
      <c r="E74" s="4" t="str">
        <f>VLOOKUP($A74,Questions!$A$3:$L$333,12,0)&amp;""</f>
        <v>Infrastructure</v>
      </c>
      <c r="F74" s="4" t="str">
        <f>VLOOKUP($A74,'Institution Evaluation'!$A$56:$K$345,3,0)&amp;""</f>
        <v/>
      </c>
      <c r="G74" s="4" t="str">
        <f>VLOOKUP($A74,'Institution Evaluation'!$A$56:$K$345,7,0)&amp;""</f>
        <v>Yes</v>
      </c>
      <c r="H74" s="4" t="str">
        <f>VLOOKUP($A74,'Institution Evaluation'!$A$56:$K$345,8,0)&amp;""</f>
        <v/>
      </c>
      <c r="I74" s="4" t="str">
        <f>VLOOKUP($A74,'Institution Evaluation'!$A$56:$K$345,9,0)&amp;""</f>
        <v>Standard Importance</v>
      </c>
      <c r="J74" s="4" t="str">
        <f>VLOOKUP($A74,'Institution Evaluation'!$A$56:$K$345,10,0)&amp;""</f>
        <v/>
      </c>
      <c r="K74" s="4">
        <f>IF($I74='Auto Responses'!$J$11,20,IF($I74='Auto Responses'!$J$13,5,10))</f>
        <v>10</v>
      </c>
      <c r="L74" s="107">
        <f>IF($E74='Auto Responses'!$L$13, 'Auto Responses'!$J$5,IF(AND($D74='Auto Responses'!$J$27,$H74=""),'Auto Responses'!$J$5,IF(AND($D74='Auto Responses'!$J$27,$H74='Auto Responses'!$J$7),1,IF(AND($D74='Auto Responses'!$J$27,$H74='Auto Responses'!$J$8),0,IF(OR(AND($F74=$G74,$H74=""),$H74='Auto Responses'!$J$7),1,0)))))</f>
        <v>0</v>
      </c>
      <c r="M74" s="4" t="str">
        <f>VLOOKUP($A74,'Institution Evaluation'!$A$56:$K$345,11,0)&amp;""</f>
        <v>FALSE</v>
      </c>
      <c r="N74" s="4">
        <f>IF($J74='Auto Responses'!$J$11,1,IF(AND($J74="",$I74='Auto Responses'!$J$11),1,0))</f>
        <v>0</v>
      </c>
      <c r="O74" s="107">
        <f>IF(OR($F$17='Auto Responses'!$J$4,$E74='Auto Responses'!$L$13,$F74='Auto Responses'!$J$5),'Auto Responses'!$J$5,IF($J74="",$K74,IF($J74='Auto Responses'!$J$13,5,IF($J74='Auto Responses'!$J$12,10,IF($J74='Auto Responses'!$J$11,20,0)))))</f>
        <v>10</v>
      </c>
      <c r="P74" s="107">
        <f>IF(OR($O74='Auto Responses'!$J$5,$L74='Auto Responses'!$J$5),'Auto Responses'!$J$5,$O74*$L74)</f>
        <v>0</v>
      </c>
      <c r="Q74" s="107">
        <f t="shared" si="7"/>
        <v>0</v>
      </c>
      <c r="R74" s="107">
        <f t="shared" si="12"/>
        <v>0</v>
      </c>
      <c r="S74" s="107">
        <f t="shared" si="8"/>
        <v>0</v>
      </c>
      <c r="T74" s="107">
        <f t="shared" si="9"/>
        <v>0</v>
      </c>
      <c r="U74" s="107">
        <f t="shared" si="13"/>
        <v>21</v>
      </c>
      <c r="V74" s="107">
        <f t="shared" si="10"/>
        <v>0</v>
      </c>
    </row>
    <row r="75" spans="1:22" ht="57" x14ac:dyDescent="0.2">
      <c r="A75" s="4" t="str">
        <f>Questions!$A75</f>
        <v>APPL-12</v>
      </c>
      <c r="B75" s="4" t="str">
        <f t="shared" si="11"/>
        <v>APPL</v>
      </c>
      <c r="C75" s="4" t="str">
        <f>VLOOKUP($A75,Questions!$A$3:$L$333,2,0)&amp;""</f>
        <v>Was your application developed using secure coding techniques?</v>
      </c>
      <c r="D75" s="4" t="str">
        <f>VLOOKUP($A75,Questions!$A$3:$L$333,11,0)&amp;""</f>
        <v/>
      </c>
      <c r="E75" s="4" t="str">
        <f>VLOOKUP($A75,Questions!$A$3:$L$333,12,0)&amp;""</f>
        <v>Infrastructure</v>
      </c>
      <c r="F75" s="4" t="str">
        <f>VLOOKUP($A75,'Institution Evaluation'!$A$56:$K$345,3,0)&amp;""</f>
        <v/>
      </c>
      <c r="G75" s="4" t="str">
        <f>VLOOKUP($A75,'Institution Evaluation'!$A$56:$K$345,7,0)&amp;""</f>
        <v>Yes</v>
      </c>
      <c r="H75" s="4" t="str">
        <f>VLOOKUP($A75,'Institution Evaluation'!$A$56:$K$345,8,0)&amp;""</f>
        <v/>
      </c>
      <c r="I75" s="4" t="str">
        <f>VLOOKUP($A75,'Institution Evaluation'!$A$56:$K$345,9,0)&amp;""</f>
        <v>Standard Importance</v>
      </c>
      <c r="J75" s="4" t="str">
        <f>VLOOKUP($A75,'Institution Evaluation'!$A$56:$K$345,10,0)&amp;""</f>
        <v/>
      </c>
      <c r="K75" s="4">
        <f>IF($I75='Auto Responses'!$J$11,20,IF($I75='Auto Responses'!$J$13,5,10))</f>
        <v>10</v>
      </c>
      <c r="L75" s="107">
        <f>IF($E75='Auto Responses'!$L$13, 'Auto Responses'!$J$5,IF(AND($D75='Auto Responses'!$J$27,$H75=""),'Auto Responses'!$J$5,IF(AND($D75='Auto Responses'!$J$27,$H75='Auto Responses'!$J$7),1,IF(AND($D75='Auto Responses'!$J$27,$H75='Auto Responses'!$J$8),0,IF(OR(AND($F75=$G75,$H75=""),$H75='Auto Responses'!$J$7),1,0)))))</f>
        <v>0</v>
      </c>
      <c r="M75" s="4" t="str">
        <f>VLOOKUP($A75,'Institution Evaluation'!$A$56:$K$345,11,0)&amp;""</f>
        <v>FALSE</v>
      </c>
      <c r="N75" s="4">
        <f>IF($J75='Auto Responses'!$J$11,1,IF(AND($J75="",$I75='Auto Responses'!$J$11),1,0))</f>
        <v>0</v>
      </c>
      <c r="O75" s="107">
        <f>IF(OR($F$17='Auto Responses'!$J$4,$E75='Auto Responses'!$L$13,$F75='Auto Responses'!$J$5),'Auto Responses'!$J$5,IF($J75="",$K75,IF($J75='Auto Responses'!$J$13,5,IF($J75='Auto Responses'!$J$12,10,IF($J75='Auto Responses'!$J$11,20,0)))))</f>
        <v>10</v>
      </c>
      <c r="P75" s="107">
        <f>IF(OR($O75='Auto Responses'!$J$5,$L75='Auto Responses'!$J$5),'Auto Responses'!$J$5,$O75*$L75)</f>
        <v>0</v>
      </c>
      <c r="Q75" s="107">
        <f t="shared" si="7"/>
        <v>0</v>
      </c>
      <c r="R75" s="107">
        <f t="shared" si="12"/>
        <v>0</v>
      </c>
      <c r="S75" s="107">
        <f t="shared" si="8"/>
        <v>0</v>
      </c>
      <c r="T75" s="107">
        <f t="shared" si="9"/>
        <v>0</v>
      </c>
      <c r="U75" s="107">
        <f t="shared" si="13"/>
        <v>21</v>
      </c>
      <c r="V75" s="107">
        <f t="shared" si="10"/>
        <v>0</v>
      </c>
    </row>
    <row r="76" spans="1:22" ht="57" x14ac:dyDescent="0.2">
      <c r="A76" s="4" t="str">
        <f>Questions!$A76</f>
        <v>APPL-13</v>
      </c>
      <c r="B76" s="4" t="str">
        <f t="shared" si="11"/>
        <v>APPL</v>
      </c>
      <c r="C76" s="4" t="str">
        <f>VLOOKUP($A76,Questions!$A$3:$L$333,2,0)&amp;""</f>
        <v>If mobile, is the application available from a trusted source (e.g., App Store, Google Play Store)?</v>
      </c>
      <c r="D76" s="4" t="str">
        <f>VLOOKUP($A76,Questions!$A$3:$L$333,11,0)&amp;""</f>
        <v/>
      </c>
      <c r="E76" s="4" t="str">
        <f>VLOOKUP($A76,Questions!$A$3:$L$333,12,0)&amp;""</f>
        <v>Infrastructure</v>
      </c>
      <c r="F76" s="4" t="str">
        <f>VLOOKUP($A76,'Institution Evaluation'!$A$56:$K$345,3,0)&amp;""</f>
        <v/>
      </c>
      <c r="G76" s="4" t="str">
        <f>VLOOKUP($A76,'Institution Evaluation'!$A$56:$K$345,7,0)&amp;""</f>
        <v>Yes</v>
      </c>
      <c r="H76" s="4" t="str">
        <f>VLOOKUP($A76,'Institution Evaluation'!$A$56:$K$345,8,0)&amp;""</f>
        <v/>
      </c>
      <c r="I76" s="4" t="str">
        <f>VLOOKUP($A76,'Institution Evaluation'!$A$56:$K$345,9,0)&amp;""</f>
        <v>Minor Importance</v>
      </c>
      <c r="J76" s="4" t="str">
        <f>VLOOKUP($A76,'Institution Evaluation'!$A$56:$K$345,10,0)&amp;""</f>
        <v/>
      </c>
      <c r="K76" s="4">
        <f>IF($I76='Auto Responses'!$J$11,20,IF($I76='Auto Responses'!$J$13,5,10))</f>
        <v>5</v>
      </c>
      <c r="L76" s="107">
        <f>IF($E76='Auto Responses'!$L$13, 'Auto Responses'!$J$5,IF(AND($D76='Auto Responses'!$J$27,$H76=""),'Auto Responses'!$J$5,IF(AND($D76='Auto Responses'!$J$27,$H76='Auto Responses'!$J$7),1,IF(AND($D76='Auto Responses'!$J$27,$H76='Auto Responses'!$J$8),0,IF(OR(AND($F76=$G76,$H76=""),$H76='Auto Responses'!$J$7),1,0)))))</f>
        <v>0</v>
      </c>
      <c r="M76" s="4" t="str">
        <f>VLOOKUP($A76,'Institution Evaluation'!$A$56:$K$345,11,0)&amp;""</f>
        <v>FALSE</v>
      </c>
      <c r="N76" s="4">
        <f>IF($J76='Auto Responses'!$J$11,1,IF(AND($J76="",$I76='Auto Responses'!$J$11),1,0))</f>
        <v>0</v>
      </c>
      <c r="O76" s="107">
        <f>IF(OR($F$17='Auto Responses'!$J$4,$E76='Auto Responses'!$L$13,$F76='Auto Responses'!$J$5),'Auto Responses'!$J$5,IF($J76="",$K76,IF($J76='Auto Responses'!$J$13,5,IF($J76='Auto Responses'!$J$12,10,IF($J76='Auto Responses'!$J$11,20,0)))))</f>
        <v>5</v>
      </c>
      <c r="P76" s="107">
        <f>IF(OR($O76='Auto Responses'!$J$5,$L76='Auto Responses'!$J$5),'Auto Responses'!$J$5,$O76*$L76)</f>
        <v>0</v>
      </c>
      <c r="Q76" s="107">
        <f t="shared" si="7"/>
        <v>0</v>
      </c>
      <c r="R76" s="107">
        <f t="shared" si="12"/>
        <v>0</v>
      </c>
      <c r="S76" s="107">
        <f t="shared" si="8"/>
        <v>0</v>
      </c>
      <c r="T76" s="107">
        <f t="shared" si="9"/>
        <v>0</v>
      </c>
      <c r="U76" s="107">
        <f t="shared" si="13"/>
        <v>21</v>
      </c>
      <c r="V76" s="107">
        <f t="shared" si="10"/>
        <v>0</v>
      </c>
    </row>
    <row r="77" spans="1:22" ht="57" x14ac:dyDescent="0.2">
      <c r="A77" s="4" t="str">
        <f>Questions!$A77</f>
        <v>APPL-14</v>
      </c>
      <c r="B77" s="4" t="str">
        <f t="shared" si="11"/>
        <v>APPL</v>
      </c>
      <c r="C77" s="4" t="str">
        <f>VLOOKUP($A77,Questions!$A$3:$L$333,2,0)&amp;""</f>
        <v>Do you have a fully implemented policy or procedure that details how your employees obtain administrator access to institutional instance of the application?</v>
      </c>
      <c r="D77" s="4" t="str">
        <f>VLOOKUP($A77,Questions!$A$3:$L$333,11,0)&amp;""</f>
        <v/>
      </c>
      <c r="E77" s="4" t="str">
        <f>VLOOKUP($A77,Questions!$A$3:$L$333,12,0)&amp;""</f>
        <v>Infrastructure</v>
      </c>
      <c r="F77" s="4" t="str">
        <f>VLOOKUP($A77,'Institution Evaluation'!$A$56:$K$345,3,0)&amp;""</f>
        <v/>
      </c>
      <c r="G77" s="4" t="str">
        <f>VLOOKUP($A77,'Institution Evaluation'!$A$56:$K$345,7,0)&amp;""</f>
        <v>Yes</v>
      </c>
      <c r="H77" s="4" t="str">
        <f>VLOOKUP($A77,'Institution Evaluation'!$A$56:$K$345,8,0)&amp;""</f>
        <v/>
      </c>
      <c r="I77" s="4" t="str">
        <f>VLOOKUP($A77,'Institution Evaluation'!$A$56:$K$345,9,0)&amp;""</f>
        <v>Minor Importance</v>
      </c>
      <c r="J77" s="4" t="str">
        <f>VLOOKUP($A77,'Institution Evaluation'!$A$56:$K$345,10,0)&amp;""</f>
        <v/>
      </c>
      <c r="K77" s="4">
        <f>IF($I77='Auto Responses'!$J$11,20,IF($I77='Auto Responses'!$J$13,5,10))</f>
        <v>5</v>
      </c>
      <c r="L77" s="107">
        <f>IF($E77='Auto Responses'!$L$13, 'Auto Responses'!$J$5,IF(AND($D77='Auto Responses'!$J$27,$H77=""),'Auto Responses'!$J$5,IF(AND($D77='Auto Responses'!$J$27,$H77='Auto Responses'!$J$7),1,IF(AND($D77='Auto Responses'!$J$27,$H77='Auto Responses'!$J$8),0,IF(OR(AND($F77=$G77,$H77=""),$H77='Auto Responses'!$J$7),1,0)))))</f>
        <v>0</v>
      </c>
      <c r="M77" s="4" t="str">
        <f>VLOOKUP($A77,'Institution Evaluation'!$A$56:$K$345,11,0)&amp;""</f>
        <v>FALSE</v>
      </c>
      <c r="N77" s="4">
        <f>IF($J77='Auto Responses'!$J$11,1,IF(AND($J77="",$I77='Auto Responses'!$J$11),1,0))</f>
        <v>0</v>
      </c>
      <c r="O77" s="107">
        <f>IF(OR($F$17='Auto Responses'!$J$4,$E77='Auto Responses'!$L$13,$F77='Auto Responses'!$J$5),'Auto Responses'!$J$5,IF($J77="",$K77,IF($J77='Auto Responses'!$J$13,5,IF($J77='Auto Responses'!$J$12,10,IF($J77='Auto Responses'!$J$11,20,0)))))</f>
        <v>5</v>
      </c>
      <c r="P77" s="107">
        <f>IF(OR($O77='Auto Responses'!$J$5,$L77='Auto Responses'!$J$5),'Auto Responses'!$J$5,$O77*$L77)</f>
        <v>0</v>
      </c>
      <c r="Q77" s="107">
        <f t="shared" si="7"/>
        <v>0</v>
      </c>
      <c r="R77" s="107">
        <f t="shared" si="12"/>
        <v>0</v>
      </c>
      <c r="S77" s="107">
        <f t="shared" si="8"/>
        <v>0</v>
      </c>
      <c r="T77" s="107">
        <f t="shared" si="9"/>
        <v>0</v>
      </c>
      <c r="U77" s="107">
        <f t="shared" si="13"/>
        <v>21</v>
      </c>
      <c r="V77" s="107">
        <f t="shared" si="10"/>
        <v>0</v>
      </c>
    </row>
    <row r="78" spans="1:22" ht="57" x14ac:dyDescent="0.2">
      <c r="A78" s="4" t="str">
        <f>Questions!$A78</f>
        <v>AAAI-01</v>
      </c>
      <c r="B78" s="4" t="str">
        <f t="shared" si="11"/>
        <v>AAAI</v>
      </c>
      <c r="C78" s="4" t="str">
        <f>VLOOKUP($A78,Questions!$A$3:$L$333,2,0)&amp;""</f>
        <v>Does your solution support single sign-on (SSO) protocols for user and administrator authentication?*</v>
      </c>
      <c r="D78" s="4" t="str">
        <f>VLOOKUP($A78,Questions!$A$3:$L$333,11,0)&amp;""</f>
        <v/>
      </c>
      <c r="E78" s="4" t="str">
        <f>VLOOKUP($A78,Questions!$A$3:$L$333,12,0)&amp;""</f>
        <v>Product</v>
      </c>
      <c r="F78" s="4" t="str">
        <f>VLOOKUP($A78,'Institution Evaluation'!$A$56:$K$345,3,0)&amp;""</f>
        <v/>
      </c>
      <c r="G78" s="4" t="str">
        <f>VLOOKUP($A78,'Institution Evaluation'!$A$56:$K$345,7,0)&amp;""</f>
        <v>Yes</v>
      </c>
      <c r="H78" s="4" t="str">
        <f>VLOOKUP($A78,'Institution Evaluation'!$A$56:$K$345,8,0)&amp;""</f>
        <v/>
      </c>
      <c r="I78" s="4" t="str">
        <f>VLOOKUP($A78,'Institution Evaluation'!$A$56:$K$345,9,0)&amp;""</f>
        <v>Critical Importance</v>
      </c>
      <c r="J78" s="4" t="str">
        <f>VLOOKUP($A78,'Institution Evaluation'!$A$56:$K$345,10,0)&amp;""</f>
        <v/>
      </c>
      <c r="K78" s="4">
        <f>IF($I78='Auto Responses'!$J$11,20,IF($I78='Auto Responses'!$J$13,5,10))</f>
        <v>20</v>
      </c>
      <c r="L78" s="107">
        <f>IF($E78='Auto Responses'!$L$13, 'Auto Responses'!$J$5,IF(AND($D78='Auto Responses'!$J$27,$H78=""),'Auto Responses'!$J$5,IF(AND($D78='Auto Responses'!$J$27,$H78='Auto Responses'!$J$7),1,IF(AND($D78='Auto Responses'!$J$27,$H78='Auto Responses'!$J$8),0,IF(OR(AND($F78=$G78,$H78=""),$H78='Auto Responses'!$J$7),1,0)))))</f>
        <v>0</v>
      </c>
      <c r="M78" s="4" t="str">
        <f>VLOOKUP($A78,'Institution Evaluation'!$A$56:$K$345,11,0)&amp;""</f>
        <v>FALSE</v>
      </c>
      <c r="N78" s="4">
        <f>IF($J78='Auto Responses'!$J$11,1,IF(AND($J78="",$I78='Auto Responses'!$J$11),1,0))</f>
        <v>1</v>
      </c>
      <c r="O78" s="107">
        <f>IF(OR($F$17='Auto Responses'!$J$4,$E78='Auto Responses'!$L$13,$F78='Auto Responses'!$J$5),'Auto Responses'!$J$5,IF($J78="",$K78,IF($J78='Auto Responses'!$J$13,5,IF($J78='Auto Responses'!$J$12,10,IF($J78='Auto Responses'!$J$11,20,0)))))</f>
        <v>20</v>
      </c>
      <c r="P78" s="107">
        <f>IF(OR($O78='Auto Responses'!$J$5,$L78='Auto Responses'!$J$5),'Auto Responses'!$J$5,$O78*$L78)</f>
        <v>0</v>
      </c>
      <c r="Q78" s="107">
        <f t="shared" si="7"/>
        <v>0</v>
      </c>
      <c r="R78" s="107">
        <f t="shared" si="12"/>
        <v>0</v>
      </c>
      <c r="S78" s="107">
        <f t="shared" si="8"/>
        <v>0</v>
      </c>
      <c r="T78" s="107">
        <f t="shared" si="9"/>
        <v>1</v>
      </c>
      <c r="U78" s="107">
        <f t="shared" si="13"/>
        <v>22</v>
      </c>
      <c r="V78" s="107">
        <f t="shared" si="10"/>
        <v>22</v>
      </c>
    </row>
    <row r="79" spans="1:22" ht="57" x14ac:dyDescent="0.2">
      <c r="A79" s="4" t="str">
        <f>Questions!$A79</f>
        <v>AAAI-02</v>
      </c>
      <c r="B79" s="4" t="str">
        <f t="shared" si="11"/>
        <v>AAAI</v>
      </c>
      <c r="C79" s="4" t="str">
        <f>VLOOKUP($A79,Questions!$A$3:$L$333,2,0)&amp;""</f>
        <v>For customers not using SSO, does your solution support local authentication protocols for user and administrator authentication?*</v>
      </c>
      <c r="D79" s="4" t="str">
        <f>VLOOKUP($A79,Questions!$A$3:$L$333,11,0)&amp;""</f>
        <v/>
      </c>
      <c r="E79" s="4" t="str">
        <f>VLOOKUP($A79,Questions!$A$3:$L$333,12,0)&amp;""</f>
        <v>Product</v>
      </c>
      <c r="F79" s="4" t="str">
        <f>VLOOKUP($A79,'Institution Evaluation'!$A$56:$K$345,3,0)&amp;""</f>
        <v/>
      </c>
      <c r="G79" s="4" t="str">
        <f>VLOOKUP($A79,'Institution Evaluation'!$A$56:$K$345,7,0)&amp;""</f>
        <v>Yes</v>
      </c>
      <c r="H79" s="4" t="str">
        <f>VLOOKUP($A79,'Institution Evaluation'!$A$56:$K$345,8,0)&amp;""</f>
        <v/>
      </c>
      <c r="I79" s="4" t="str">
        <f>VLOOKUP($A79,'Institution Evaluation'!$A$56:$K$345,9,0)&amp;""</f>
        <v>Critical Importance</v>
      </c>
      <c r="J79" s="4" t="str">
        <f>VLOOKUP($A79,'Institution Evaluation'!$A$56:$K$345,10,0)&amp;""</f>
        <v/>
      </c>
      <c r="K79" s="4">
        <f>IF($I79='Auto Responses'!$J$11,20,IF($I79='Auto Responses'!$J$13,5,10))</f>
        <v>20</v>
      </c>
      <c r="L79" s="107">
        <f>IF($E79='Auto Responses'!$L$13, 'Auto Responses'!$J$5,IF(AND($D79='Auto Responses'!$J$27,$H79=""),'Auto Responses'!$J$5,IF(AND($D79='Auto Responses'!$J$27,$H79='Auto Responses'!$J$7),1,IF(AND($D79='Auto Responses'!$J$27,$H79='Auto Responses'!$J$8),0,IF(OR(AND($F79=$G79,$H79=""),$H79='Auto Responses'!$J$7),1,0)))))</f>
        <v>0</v>
      </c>
      <c r="M79" s="4" t="str">
        <f>VLOOKUP($A79,'Institution Evaluation'!$A$56:$K$345,11,0)&amp;""</f>
        <v>FALSE</v>
      </c>
      <c r="N79" s="4">
        <f>IF($J79='Auto Responses'!$J$11,1,IF(AND($J79="",$I79='Auto Responses'!$J$11),1,0))</f>
        <v>1</v>
      </c>
      <c r="O79" s="107">
        <f>IF(OR($F$17='Auto Responses'!$J$4,$E79='Auto Responses'!$L$13,$F79='Auto Responses'!$J$5),'Auto Responses'!$J$5,IF($J79="",$K79,IF($J79='Auto Responses'!$J$13,5,IF($J79='Auto Responses'!$J$12,10,IF($J79='Auto Responses'!$J$11,20,0)))))</f>
        <v>20</v>
      </c>
      <c r="P79" s="107">
        <f>IF(OR($O79='Auto Responses'!$J$5,$L79='Auto Responses'!$J$5),'Auto Responses'!$J$5,$O79*$L79)</f>
        <v>0</v>
      </c>
      <c r="Q79" s="107">
        <f t="shared" si="7"/>
        <v>0</v>
      </c>
      <c r="R79" s="107">
        <f t="shared" si="12"/>
        <v>0</v>
      </c>
      <c r="S79" s="107">
        <f t="shared" si="8"/>
        <v>0</v>
      </c>
      <c r="T79" s="107">
        <f t="shared" si="9"/>
        <v>1</v>
      </c>
      <c r="U79" s="107">
        <f t="shared" si="13"/>
        <v>23</v>
      </c>
      <c r="V79" s="107">
        <f t="shared" si="10"/>
        <v>23</v>
      </c>
    </row>
    <row r="80" spans="1:22" ht="57" x14ac:dyDescent="0.2">
      <c r="A80" s="4" t="str">
        <f>Questions!$A80</f>
        <v>AAAI-03</v>
      </c>
      <c r="B80" s="4" t="str">
        <f t="shared" si="11"/>
        <v>AAAI</v>
      </c>
      <c r="C80" s="4" t="str">
        <f>VLOOKUP($A80,Questions!$A$3:$L$333,2,0)&amp;""</f>
        <v>For customers not using SSO, can you enforce password/passphrase complexity requirements (provided by the institution)?*</v>
      </c>
      <c r="D80" s="4" t="str">
        <f>VLOOKUP($A80,Questions!$A$3:$L$333,11,0)&amp;""</f>
        <v/>
      </c>
      <c r="E80" s="4" t="str">
        <f>VLOOKUP($A80,Questions!$A$3:$L$333,12,0)&amp;""</f>
        <v>Product</v>
      </c>
      <c r="F80" s="4" t="str">
        <f>VLOOKUP($A80,'Institution Evaluation'!$A$56:$K$345,3,0)&amp;""</f>
        <v/>
      </c>
      <c r="G80" s="4" t="str">
        <f>VLOOKUP($A80,'Institution Evaluation'!$A$56:$K$345,7,0)&amp;""</f>
        <v>Yes</v>
      </c>
      <c r="H80" s="4" t="str">
        <f>VLOOKUP($A80,'Institution Evaluation'!$A$56:$K$345,8,0)&amp;""</f>
        <v/>
      </c>
      <c r="I80" s="4" t="str">
        <f>VLOOKUP($A80,'Institution Evaluation'!$A$56:$K$345,9,0)&amp;""</f>
        <v>Critical Importance</v>
      </c>
      <c r="J80" s="4" t="str">
        <f>VLOOKUP($A80,'Institution Evaluation'!$A$56:$K$345,10,0)&amp;""</f>
        <v/>
      </c>
      <c r="K80" s="4">
        <f>IF($I80='Auto Responses'!$J$11,20,IF($I80='Auto Responses'!$J$13,5,10))</f>
        <v>20</v>
      </c>
      <c r="L80" s="107">
        <f>IF($E80='Auto Responses'!$L$13, 'Auto Responses'!$J$5,IF(AND($D80='Auto Responses'!$J$27,$H80=""),'Auto Responses'!$J$5,IF(AND($D80='Auto Responses'!$J$27,$H80='Auto Responses'!$J$7),1,IF(AND($D80='Auto Responses'!$J$27,$H80='Auto Responses'!$J$8),0,IF(OR(AND($F80=$G80,$H80=""),$H80='Auto Responses'!$J$7),1,0)))))</f>
        <v>0</v>
      </c>
      <c r="M80" s="4" t="str">
        <f>VLOOKUP($A80,'Institution Evaluation'!$A$56:$K$345,11,0)&amp;""</f>
        <v>FALSE</v>
      </c>
      <c r="N80" s="4">
        <f>IF($J80='Auto Responses'!$J$11,1,IF(AND($J80="",$I80='Auto Responses'!$J$11),1,0))</f>
        <v>1</v>
      </c>
      <c r="O80" s="107">
        <f>IF(OR($F$17='Auto Responses'!$J$4,$E80='Auto Responses'!$L$13,$F80='Auto Responses'!$J$5),'Auto Responses'!$J$5,IF($J80="",$K80,IF($J80='Auto Responses'!$J$13,5,IF($J80='Auto Responses'!$J$12,10,IF($J80='Auto Responses'!$J$11,20,0)))))</f>
        <v>20</v>
      </c>
      <c r="P80" s="107">
        <f>IF(OR($O80='Auto Responses'!$J$5,$L80='Auto Responses'!$J$5),'Auto Responses'!$J$5,$O80*$L80)</f>
        <v>0</v>
      </c>
      <c r="Q80" s="107">
        <f t="shared" si="7"/>
        <v>0</v>
      </c>
      <c r="R80" s="107">
        <f t="shared" si="12"/>
        <v>0</v>
      </c>
      <c r="S80" s="107">
        <f t="shared" si="8"/>
        <v>0</v>
      </c>
      <c r="T80" s="107">
        <f t="shared" si="9"/>
        <v>1</v>
      </c>
      <c r="U80" s="107">
        <f t="shared" si="13"/>
        <v>24</v>
      </c>
      <c r="V80" s="107">
        <f t="shared" si="10"/>
        <v>24</v>
      </c>
    </row>
    <row r="81" spans="1:22" ht="57" x14ac:dyDescent="0.2">
      <c r="A81" s="4" t="str">
        <f>Questions!$A81</f>
        <v>AAAI-04</v>
      </c>
      <c r="B81" s="4" t="str">
        <f t="shared" si="11"/>
        <v>AAAI</v>
      </c>
      <c r="C81" s="4" t="str">
        <f>VLOOKUP($A81,Questions!$A$3:$L$333,2,0)&amp;""</f>
        <v>For customers not using SSO, does the system have password complexity or length limitations and/or restrictions?*</v>
      </c>
      <c r="D81" s="4" t="str">
        <f>VLOOKUP($A81,Questions!$A$3:$L$333,11,0)&amp;""</f>
        <v/>
      </c>
      <c r="E81" s="4" t="str">
        <f>VLOOKUP($A81,Questions!$A$3:$L$333,12,0)&amp;""</f>
        <v>Product</v>
      </c>
      <c r="F81" s="4" t="str">
        <f>VLOOKUP($A81,'Institution Evaluation'!$A$56:$K$345,3,0)&amp;""</f>
        <v/>
      </c>
      <c r="G81" s="4" t="str">
        <f>VLOOKUP($A81,'Institution Evaluation'!$A$56:$K$345,7,0)&amp;""</f>
        <v>No</v>
      </c>
      <c r="H81" s="4" t="str">
        <f>VLOOKUP($A81,'Institution Evaluation'!$A$56:$K$345,8,0)&amp;""</f>
        <v/>
      </c>
      <c r="I81" s="4" t="str">
        <f>VLOOKUP($A81,'Institution Evaluation'!$A$56:$K$345,9,0)&amp;""</f>
        <v>Critical Importance</v>
      </c>
      <c r="J81" s="4" t="str">
        <f>VLOOKUP($A81,'Institution Evaluation'!$A$56:$K$345,10,0)&amp;""</f>
        <v/>
      </c>
      <c r="K81" s="4">
        <f>IF($I81='Auto Responses'!$J$11,20,IF($I81='Auto Responses'!$J$13,5,10))</f>
        <v>20</v>
      </c>
      <c r="L81" s="107">
        <f>IF($E81='Auto Responses'!$L$13, 'Auto Responses'!$J$5,IF(AND($D81='Auto Responses'!$J$27,$H81=""),'Auto Responses'!$J$5,IF(AND($D81='Auto Responses'!$J$27,$H81='Auto Responses'!$J$7),1,IF(AND($D81='Auto Responses'!$J$27,$H81='Auto Responses'!$J$8),0,IF(OR(AND($F81=$G81,$H81=""),$H81='Auto Responses'!$J$7),1,0)))))</f>
        <v>0</v>
      </c>
      <c r="M81" s="4" t="str">
        <f>VLOOKUP($A81,'Institution Evaluation'!$A$56:$K$345,11,0)&amp;""</f>
        <v>FALSE</v>
      </c>
      <c r="N81" s="4">
        <f>IF($J81='Auto Responses'!$J$11,1,IF(AND($J81="",$I81='Auto Responses'!$J$11),1,0))</f>
        <v>1</v>
      </c>
      <c r="O81" s="107">
        <f>IF(OR($F$17='Auto Responses'!$J$4,$E81='Auto Responses'!$L$13,$F81='Auto Responses'!$J$5),'Auto Responses'!$J$5,IF($J81="",$K81,IF($J81='Auto Responses'!$J$13,5,IF($J81='Auto Responses'!$J$12,10,IF($J81='Auto Responses'!$J$11,20,0)))))</f>
        <v>20</v>
      </c>
      <c r="P81" s="107">
        <f>IF(OR($O81='Auto Responses'!$J$5,$L81='Auto Responses'!$J$5),'Auto Responses'!$J$5,$O81*$L81)</f>
        <v>0</v>
      </c>
      <c r="Q81" s="107">
        <f t="shared" si="7"/>
        <v>0</v>
      </c>
      <c r="R81" s="107">
        <f t="shared" si="12"/>
        <v>0</v>
      </c>
      <c r="S81" s="107">
        <f t="shared" si="8"/>
        <v>0</v>
      </c>
      <c r="T81" s="107">
        <f t="shared" si="9"/>
        <v>1</v>
      </c>
      <c r="U81" s="107">
        <f t="shared" si="13"/>
        <v>25</v>
      </c>
      <c r="V81" s="107">
        <f t="shared" si="10"/>
        <v>25</v>
      </c>
    </row>
    <row r="82" spans="1:22" ht="57" x14ac:dyDescent="0.2">
      <c r="A82" s="4" t="str">
        <f>Questions!$A82</f>
        <v>AAAI-05</v>
      </c>
      <c r="B82" s="4" t="str">
        <f t="shared" si="11"/>
        <v>AAAI</v>
      </c>
      <c r="C82" s="4" t="str">
        <f>VLOOKUP($A82,Questions!$A$3:$L$333,2,0)&amp;""</f>
        <v>For customers not using SSO, do you have documented password/passphrase reset procedures that are currently implemented in the system and/or customer support?*</v>
      </c>
      <c r="D82" s="4" t="str">
        <f>VLOOKUP($A82,Questions!$A$3:$L$333,11,0)&amp;""</f>
        <v/>
      </c>
      <c r="E82" s="4" t="str">
        <f>VLOOKUP($A82,Questions!$A$3:$L$333,12,0)&amp;""</f>
        <v>Product</v>
      </c>
      <c r="F82" s="4" t="str">
        <f>VLOOKUP($A82,'Institution Evaluation'!$A$56:$K$345,3,0)&amp;""</f>
        <v/>
      </c>
      <c r="G82" s="4" t="str">
        <f>VLOOKUP($A82,'Institution Evaluation'!$A$56:$K$345,7,0)&amp;""</f>
        <v>Yes</v>
      </c>
      <c r="H82" s="4" t="str">
        <f>VLOOKUP($A82,'Institution Evaluation'!$A$56:$K$345,8,0)&amp;""</f>
        <v/>
      </c>
      <c r="I82" s="4" t="str">
        <f>VLOOKUP($A82,'Institution Evaluation'!$A$56:$K$345,9,0)&amp;""</f>
        <v>Critical Importance</v>
      </c>
      <c r="J82" s="4" t="str">
        <f>VLOOKUP($A82,'Institution Evaluation'!$A$56:$K$345,10,0)&amp;""</f>
        <v/>
      </c>
      <c r="K82" s="4">
        <f>IF($I82='Auto Responses'!$J$11,20,IF($I82='Auto Responses'!$J$13,5,10))</f>
        <v>20</v>
      </c>
      <c r="L82" s="107">
        <f>IF($E82='Auto Responses'!$L$13, 'Auto Responses'!$J$5,IF(AND($D82='Auto Responses'!$J$27,$H82=""),'Auto Responses'!$J$5,IF(AND($D82='Auto Responses'!$J$27,$H82='Auto Responses'!$J$7),1,IF(AND($D82='Auto Responses'!$J$27,$H82='Auto Responses'!$J$8),0,IF(OR(AND($F82=$G82,$H82=""),$H82='Auto Responses'!$J$7),1,0)))))</f>
        <v>0</v>
      </c>
      <c r="M82" s="4" t="str">
        <f>VLOOKUP($A82,'Institution Evaluation'!$A$56:$K$345,11,0)&amp;""</f>
        <v>FALSE</v>
      </c>
      <c r="N82" s="4">
        <f>IF($J82='Auto Responses'!$J$11,1,IF(AND($J82="",$I82='Auto Responses'!$J$11),1,0))</f>
        <v>1</v>
      </c>
      <c r="O82" s="107">
        <f>IF(OR($F$17='Auto Responses'!$J$4,$E82='Auto Responses'!$L$13,$F82='Auto Responses'!$J$5),'Auto Responses'!$J$5,IF($J82="",$K82,IF($J82='Auto Responses'!$J$13,5,IF($J82='Auto Responses'!$J$12,10,IF($J82='Auto Responses'!$J$11,20,0)))))</f>
        <v>20</v>
      </c>
      <c r="P82" s="107">
        <f>IF(OR($O82='Auto Responses'!$J$5,$L82='Auto Responses'!$J$5),'Auto Responses'!$J$5,$O82*$L82)</f>
        <v>0</v>
      </c>
      <c r="Q82" s="107">
        <f t="shared" si="7"/>
        <v>0</v>
      </c>
      <c r="R82" s="107">
        <f t="shared" si="12"/>
        <v>0</v>
      </c>
      <c r="S82" s="107">
        <f t="shared" si="8"/>
        <v>0</v>
      </c>
      <c r="T82" s="107">
        <f t="shared" si="9"/>
        <v>1</v>
      </c>
      <c r="U82" s="107">
        <f t="shared" si="13"/>
        <v>26</v>
      </c>
      <c r="V82" s="107">
        <f t="shared" si="10"/>
        <v>26</v>
      </c>
    </row>
    <row r="83" spans="1:22" ht="57" x14ac:dyDescent="0.2">
      <c r="A83" s="4" t="str">
        <f>Questions!$A83</f>
        <v>AAAI-06</v>
      </c>
      <c r="B83" s="4" t="str">
        <f t="shared" si="11"/>
        <v>AAAI</v>
      </c>
      <c r="C83" s="4" t="str">
        <f>VLOOKUP($A83,Questions!$A$3:$L$333,2,0)&amp;""</f>
        <v>Does your organization participate in InCommon or another eduGAIN-affiliated trust federation?*</v>
      </c>
      <c r="D83" s="4" t="str">
        <f>VLOOKUP($A83,Questions!$A$3:$L$333,11,0)&amp;""</f>
        <v/>
      </c>
      <c r="E83" s="4" t="str">
        <f>VLOOKUP($A83,Questions!$A$3:$L$333,12,0)&amp;""</f>
        <v>Product</v>
      </c>
      <c r="F83" s="4" t="str">
        <f>VLOOKUP($A83,'Institution Evaluation'!$A$56:$K$345,3,0)&amp;""</f>
        <v/>
      </c>
      <c r="G83" s="4" t="str">
        <f>VLOOKUP($A83,'Institution Evaluation'!$A$56:$K$345,7,0)&amp;""</f>
        <v>Yes</v>
      </c>
      <c r="H83" s="4" t="str">
        <f>VLOOKUP($A83,'Institution Evaluation'!$A$56:$K$345,8,0)&amp;""</f>
        <v/>
      </c>
      <c r="I83" s="4" t="str">
        <f>VLOOKUP($A83,'Institution Evaluation'!$A$56:$K$345,9,0)&amp;""</f>
        <v>Critical Importance</v>
      </c>
      <c r="J83" s="4" t="str">
        <f>VLOOKUP($A83,'Institution Evaluation'!$A$56:$K$345,10,0)&amp;""</f>
        <v/>
      </c>
      <c r="K83" s="4">
        <f>IF($I83='Auto Responses'!$J$11,20,IF($I83='Auto Responses'!$J$13,5,10))</f>
        <v>20</v>
      </c>
      <c r="L83" s="107">
        <f>IF($E83='Auto Responses'!$L$13, 'Auto Responses'!$J$5,IF(AND($D83='Auto Responses'!$J$27,$H83=""),'Auto Responses'!$J$5,IF(AND($D83='Auto Responses'!$J$27,$H83='Auto Responses'!$J$7),1,IF(AND($D83='Auto Responses'!$J$27,$H83='Auto Responses'!$J$8),0,IF(OR(AND($F83=$G83,$H83=""),$H83='Auto Responses'!$J$7),1,0)))))</f>
        <v>0</v>
      </c>
      <c r="M83" s="4" t="str">
        <f>VLOOKUP($A83,'Institution Evaluation'!$A$56:$K$345,11,0)&amp;""</f>
        <v>FALSE</v>
      </c>
      <c r="N83" s="4">
        <f>IF($J83='Auto Responses'!$J$11,1,IF(AND($J83="",$I83='Auto Responses'!$J$11),1,0))</f>
        <v>1</v>
      </c>
      <c r="O83" s="107">
        <f>IF(OR($F$17='Auto Responses'!$J$4,$E83='Auto Responses'!$L$13,$F83='Auto Responses'!$J$5),'Auto Responses'!$J$5,IF($J83="",$K83,IF($J83='Auto Responses'!$J$13,5,IF($J83='Auto Responses'!$J$12,10,IF($J83='Auto Responses'!$J$11,20,0)))))</f>
        <v>20</v>
      </c>
      <c r="P83" s="107">
        <f>IF(OR($O83='Auto Responses'!$J$5,$L83='Auto Responses'!$J$5),'Auto Responses'!$J$5,$O83*$L83)</f>
        <v>0</v>
      </c>
      <c r="Q83" s="107">
        <f t="shared" si="7"/>
        <v>0</v>
      </c>
      <c r="R83" s="107">
        <f t="shared" si="12"/>
        <v>0</v>
      </c>
      <c r="S83" s="107">
        <f t="shared" si="8"/>
        <v>0</v>
      </c>
      <c r="T83" s="107">
        <f t="shared" si="9"/>
        <v>1</v>
      </c>
      <c r="U83" s="107">
        <f t="shared" si="13"/>
        <v>27</v>
      </c>
      <c r="V83" s="107">
        <f t="shared" si="10"/>
        <v>27</v>
      </c>
    </row>
    <row r="84" spans="1:22" ht="57" x14ac:dyDescent="0.2">
      <c r="A84" s="4" t="str">
        <f>Questions!$A84</f>
        <v>AAAI-07</v>
      </c>
      <c r="B84" s="4" t="str">
        <f t="shared" si="11"/>
        <v>AAAI</v>
      </c>
      <c r="C84" s="4" t="str">
        <f>VLOOKUP($A84,Questions!$A$3:$L$333,2,0)&amp;""</f>
        <v>Are there any passwords/passphrases hard-coded into your systems or solutions?*</v>
      </c>
      <c r="D84" s="4" t="str">
        <f>VLOOKUP($A84,Questions!$A$3:$L$333,11,0)&amp;""</f>
        <v/>
      </c>
      <c r="E84" s="4" t="str">
        <f>VLOOKUP($A84,Questions!$A$3:$L$333,12,0)&amp;""</f>
        <v>Product</v>
      </c>
      <c r="F84" s="4" t="str">
        <f>VLOOKUP($A84,'Institution Evaluation'!$A$56:$K$345,3,0)&amp;""</f>
        <v/>
      </c>
      <c r="G84" s="4" t="str">
        <f>VLOOKUP($A84,'Institution Evaluation'!$A$56:$K$345,7,0)&amp;""</f>
        <v>No</v>
      </c>
      <c r="H84" s="4" t="str">
        <f>VLOOKUP($A84,'Institution Evaluation'!$A$56:$K$345,8,0)&amp;""</f>
        <v/>
      </c>
      <c r="I84" s="4" t="str">
        <f>VLOOKUP($A84,'Institution Evaluation'!$A$56:$K$345,9,0)&amp;""</f>
        <v>Critical Importance</v>
      </c>
      <c r="J84" s="4" t="str">
        <f>VLOOKUP($A84,'Institution Evaluation'!$A$56:$K$345,10,0)&amp;""</f>
        <v/>
      </c>
      <c r="K84" s="4">
        <f>IF($I84='Auto Responses'!$J$11,20,IF($I84='Auto Responses'!$J$13,5,10))</f>
        <v>20</v>
      </c>
      <c r="L84" s="107">
        <f>IF($E84='Auto Responses'!$L$13, 'Auto Responses'!$J$5,IF(AND($D84='Auto Responses'!$J$27,$H84=""),'Auto Responses'!$J$5,IF(AND($D84='Auto Responses'!$J$27,$H84='Auto Responses'!$J$7),1,IF(AND($D84='Auto Responses'!$J$27,$H84='Auto Responses'!$J$8),0,IF(OR(AND($F84=$G84,$H84=""),$H84='Auto Responses'!$J$7),1,0)))))</f>
        <v>0</v>
      </c>
      <c r="M84" s="4" t="str">
        <f>VLOOKUP($A84,'Institution Evaluation'!$A$56:$K$345,11,0)&amp;""</f>
        <v>FALSE</v>
      </c>
      <c r="N84" s="4">
        <f>IF($J84='Auto Responses'!$J$11,1,IF(AND($J84="",$I84='Auto Responses'!$J$11),1,0))</f>
        <v>1</v>
      </c>
      <c r="O84" s="107">
        <f>IF(OR($F$17='Auto Responses'!$J$4,$E84='Auto Responses'!$L$13,$F84='Auto Responses'!$J$5),'Auto Responses'!$J$5,IF($J84="",$K84,IF($J84='Auto Responses'!$J$13,5,IF($J84='Auto Responses'!$J$12,10,IF($J84='Auto Responses'!$J$11,20,0)))))</f>
        <v>20</v>
      </c>
      <c r="P84" s="107">
        <f>IF(OR($O84='Auto Responses'!$J$5,$L84='Auto Responses'!$J$5),'Auto Responses'!$J$5,$O84*$L84)</f>
        <v>0</v>
      </c>
      <c r="Q84" s="107">
        <f t="shared" si="7"/>
        <v>0</v>
      </c>
      <c r="R84" s="107">
        <f t="shared" si="12"/>
        <v>0</v>
      </c>
      <c r="S84" s="107">
        <f t="shared" si="8"/>
        <v>0</v>
      </c>
      <c r="T84" s="107">
        <f t="shared" si="9"/>
        <v>1</v>
      </c>
      <c r="U84" s="107">
        <f t="shared" si="13"/>
        <v>28</v>
      </c>
      <c r="V84" s="107">
        <f t="shared" si="10"/>
        <v>28</v>
      </c>
    </row>
    <row r="85" spans="1:22" ht="57" x14ac:dyDescent="0.2">
      <c r="A85" s="4" t="str">
        <f>Questions!$A85</f>
        <v>AAAI-08</v>
      </c>
      <c r="B85" s="4" t="str">
        <f t="shared" si="11"/>
        <v>AAAI</v>
      </c>
      <c r="C85" s="4" t="str">
        <f>VLOOKUP($A85,Questions!$A$3:$L$333,2,0)&amp;""</f>
        <v>Are you storing any passwords in plaintext?*</v>
      </c>
      <c r="D85" s="4" t="str">
        <f>VLOOKUP($A85,Questions!$A$3:$L$333,11,0)&amp;""</f>
        <v/>
      </c>
      <c r="E85" s="4" t="str">
        <f>VLOOKUP($A85,Questions!$A$3:$L$333,12,0)&amp;""</f>
        <v>Product</v>
      </c>
      <c r="F85" s="4" t="str">
        <f>VLOOKUP($A85,'Institution Evaluation'!$A$56:$K$345,3,0)&amp;""</f>
        <v/>
      </c>
      <c r="G85" s="4" t="str">
        <f>VLOOKUP($A85,'Institution Evaluation'!$A$56:$K$345,7,0)&amp;""</f>
        <v>No</v>
      </c>
      <c r="H85" s="4" t="str">
        <f>VLOOKUP($A85,'Institution Evaluation'!$A$56:$K$345,8,0)&amp;""</f>
        <v/>
      </c>
      <c r="I85" s="4" t="str">
        <f>VLOOKUP($A85,'Institution Evaluation'!$A$56:$K$345,9,0)&amp;""</f>
        <v>Critical Importance</v>
      </c>
      <c r="J85" s="4" t="str">
        <f>VLOOKUP($A85,'Institution Evaluation'!$A$56:$K$345,10,0)&amp;""</f>
        <v/>
      </c>
      <c r="K85" s="4">
        <f>IF($I85='Auto Responses'!$J$11,20,IF($I85='Auto Responses'!$J$13,5,10))</f>
        <v>20</v>
      </c>
      <c r="L85" s="107">
        <f>IF($E85='Auto Responses'!$L$13, 'Auto Responses'!$J$5,IF(AND($D85='Auto Responses'!$J$27,$H85=""),'Auto Responses'!$J$5,IF(AND($D85='Auto Responses'!$J$27,$H85='Auto Responses'!$J$7),1,IF(AND($D85='Auto Responses'!$J$27,$H85='Auto Responses'!$J$8),0,IF(OR(AND($F85=$G85,$H85=""),$H85='Auto Responses'!$J$7),1,0)))))</f>
        <v>0</v>
      </c>
      <c r="M85" s="4" t="str">
        <f>VLOOKUP($A85,'Institution Evaluation'!$A$56:$K$345,11,0)&amp;""</f>
        <v>FALSE</v>
      </c>
      <c r="N85" s="4">
        <f>IF($J85='Auto Responses'!$J$11,1,IF(AND($J85="",$I85='Auto Responses'!$J$11),1,0))</f>
        <v>1</v>
      </c>
      <c r="O85" s="107">
        <f>IF(OR($F$17='Auto Responses'!$J$4,$E85='Auto Responses'!$L$13,$F85='Auto Responses'!$J$5),'Auto Responses'!$J$5,IF($J85="",$K85,IF($J85='Auto Responses'!$J$13,5,IF($J85='Auto Responses'!$J$12,10,IF($J85='Auto Responses'!$J$11,20,0)))))</f>
        <v>20</v>
      </c>
      <c r="P85" s="107">
        <f>IF(OR($O85='Auto Responses'!$J$5,$L85='Auto Responses'!$J$5),'Auto Responses'!$J$5,$O85*$L85)</f>
        <v>0</v>
      </c>
      <c r="Q85" s="107">
        <f t="shared" si="7"/>
        <v>0</v>
      </c>
      <c r="R85" s="107">
        <f t="shared" si="12"/>
        <v>0</v>
      </c>
      <c r="S85" s="107">
        <f t="shared" si="8"/>
        <v>0</v>
      </c>
      <c r="T85" s="107">
        <f t="shared" si="9"/>
        <v>1</v>
      </c>
      <c r="U85" s="107">
        <f t="shared" si="13"/>
        <v>29</v>
      </c>
      <c r="V85" s="107">
        <f t="shared" si="10"/>
        <v>29</v>
      </c>
    </row>
    <row r="86" spans="1:22" ht="57" x14ac:dyDescent="0.2">
      <c r="A86" s="4" t="str">
        <f>Questions!$A86</f>
        <v>AAAI-09</v>
      </c>
      <c r="B86" s="4" t="str">
        <f t="shared" si="11"/>
        <v>AAAI</v>
      </c>
      <c r="C86" s="4" t="str">
        <f>VLOOKUP($A86,Questions!$A$3:$L$333,2,0)&amp;""</f>
        <v>Are audit logs available that include AT LEAST all of the following: login, logout, actions performed, and source IP address?*</v>
      </c>
      <c r="D86" s="4" t="str">
        <f>VLOOKUP($A86,Questions!$A$3:$L$333,11,0)&amp;""</f>
        <v/>
      </c>
      <c r="E86" s="4" t="str">
        <f>VLOOKUP($A86,Questions!$A$3:$L$333,12,0)&amp;""</f>
        <v>Product</v>
      </c>
      <c r="F86" s="4" t="str">
        <f>VLOOKUP($A86,'Institution Evaluation'!$A$56:$K$345,3,0)&amp;""</f>
        <v/>
      </c>
      <c r="G86" s="4" t="str">
        <f>VLOOKUP($A86,'Institution Evaluation'!$A$56:$K$345,7,0)&amp;""</f>
        <v>Yes</v>
      </c>
      <c r="H86" s="4" t="str">
        <f>VLOOKUP($A86,'Institution Evaluation'!$A$56:$K$345,8,0)&amp;""</f>
        <v/>
      </c>
      <c r="I86" s="4" t="str">
        <f>VLOOKUP($A86,'Institution Evaluation'!$A$56:$K$345,9,0)&amp;""</f>
        <v>Critical Importance</v>
      </c>
      <c r="J86" s="4" t="str">
        <f>VLOOKUP($A86,'Institution Evaluation'!$A$56:$K$345,10,0)&amp;""</f>
        <v/>
      </c>
      <c r="K86" s="4">
        <f>IF($I86='Auto Responses'!$J$11,20,IF($I86='Auto Responses'!$J$13,5,10))</f>
        <v>20</v>
      </c>
      <c r="L86" s="107">
        <f>IF($E86='Auto Responses'!$L$13, 'Auto Responses'!$J$5,IF(AND($D86='Auto Responses'!$J$27,$H86=""),'Auto Responses'!$J$5,IF(AND($D86='Auto Responses'!$J$27,$H86='Auto Responses'!$J$7),1,IF(AND($D86='Auto Responses'!$J$27,$H86='Auto Responses'!$J$8),0,IF(OR(AND($F86=$G86,$H86=""),$H86='Auto Responses'!$J$7),1,0)))))</f>
        <v>0</v>
      </c>
      <c r="M86" s="4" t="str">
        <f>VLOOKUP($A86,'Institution Evaluation'!$A$56:$K$345,11,0)&amp;""</f>
        <v>FALSE</v>
      </c>
      <c r="N86" s="4">
        <f>IF($J86='Auto Responses'!$J$11,1,IF(AND($J86="",$I86='Auto Responses'!$J$11),1,0))</f>
        <v>1</v>
      </c>
      <c r="O86" s="107">
        <f>IF(OR($F$17='Auto Responses'!$J$4,$E86='Auto Responses'!$L$13,$F86='Auto Responses'!$J$5),'Auto Responses'!$J$5,IF($J86="",$K86,IF($J86='Auto Responses'!$J$13,5,IF($J86='Auto Responses'!$J$12,10,IF($J86='Auto Responses'!$J$11,20,0)))))</f>
        <v>20</v>
      </c>
      <c r="P86" s="107">
        <f>IF(OR($O86='Auto Responses'!$J$5,$L86='Auto Responses'!$J$5),'Auto Responses'!$J$5,$O86*$L86)</f>
        <v>0</v>
      </c>
      <c r="Q86" s="107">
        <f t="shared" si="7"/>
        <v>0</v>
      </c>
      <c r="R86" s="107">
        <f t="shared" si="12"/>
        <v>0</v>
      </c>
      <c r="S86" s="107">
        <f t="shared" si="8"/>
        <v>0</v>
      </c>
      <c r="T86" s="107">
        <f t="shared" si="9"/>
        <v>1</v>
      </c>
      <c r="U86" s="107">
        <f t="shared" si="13"/>
        <v>30</v>
      </c>
      <c r="V86" s="107">
        <f t="shared" si="10"/>
        <v>30</v>
      </c>
    </row>
    <row r="87" spans="1:22" ht="114" x14ac:dyDescent="0.2">
      <c r="A87" s="4" t="str">
        <f>Questions!$A87</f>
        <v>AAAI-10</v>
      </c>
      <c r="B87" s="4" t="str">
        <f t="shared" si="11"/>
        <v>AAAI</v>
      </c>
      <c r="C87" s="4"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4" t="str">
        <f>VLOOKUP($A87,Questions!$A$3:$L$333,11,0)&amp;""</f>
        <v/>
      </c>
      <c r="E87" s="4" t="str">
        <f>VLOOKUP($A87,Questions!$A$3:$L$333,12,0)&amp;""</f>
        <v>Not scored</v>
      </c>
      <c r="F87" s="4" t="str">
        <f>VLOOKUP($A87,'Institution Evaluation'!$A$56:$K$345,3,0)&amp;""</f>
        <v/>
      </c>
      <c r="G87" s="4" t="str">
        <f>VLOOKUP($A87,'Institution Evaluation'!$A$56:$K$345,7,0)&amp;""</f>
        <v>Not scored</v>
      </c>
      <c r="H87" s="4" t="str">
        <f>VLOOKUP($A87,'Institution Evaluation'!$A$56:$K$345,8,0)&amp;""</f>
        <v/>
      </c>
      <c r="I87" s="4" t="str">
        <f>VLOOKUP($A87,'Institution Evaluation'!$A$56:$K$345,9,0)&amp;""</f>
        <v/>
      </c>
      <c r="J87" s="4" t="str">
        <f>VLOOKUP($A87,'Institution Evaluation'!$A$56:$K$345,10,0)&amp;""</f>
        <v/>
      </c>
      <c r="K87" s="4">
        <f>IF($I87='Auto Responses'!$J$11,20,IF($I87='Auto Responses'!$J$13,5,10))</f>
        <v>10</v>
      </c>
      <c r="L87" s="107" t="str">
        <f>IF($E87='Auto Responses'!$L$13, 'Auto Responses'!$J$5,IF(AND($D87='Auto Responses'!$J$27,$H87=""),'Auto Responses'!$J$5,IF(AND($D87='Auto Responses'!$J$27,$H87='Auto Responses'!$J$7),1,IF(AND($D87='Auto Responses'!$J$27,$H87='Auto Responses'!$J$8),0,IF(OR(AND($F87=$G87,$H87=""),$H87='Auto Responses'!$J$7),1,0)))))</f>
        <v>N/A</v>
      </c>
      <c r="M87" s="4" t="str">
        <f>VLOOKUP($A87,'Institution Evaluation'!$A$56:$K$345,11,0)&amp;""</f>
        <v>FALSE</v>
      </c>
      <c r="N87" s="4">
        <f>IF($J87='Auto Responses'!$J$11,1,IF(AND($J87="",$I87='Auto Responses'!$J$11),1,0))</f>
        <v>0</v>
      </c>
      <c r="O87" s="107" t="str">
        <f>IF(OR($F$17='Auto Responses'!$J$4,$E87='Auto Responses'!$L$13,$F87='Auto Responses'!$J$5),'Auto Responses'!$J$5,IF($J87="",$K87,IF($J87='Auto Responses'!$J$13,5,IF($J87='Auto Responses'!$J$12,10,IF($J87='Auto Responses'!$J$11,20,0)))))</f>
        <v>N/A</v>
      </c>
      <c r="P87" s="107" t="str">
        <f>IF(OR($O87='Auto Responses'!$J$5,$L87='Auto Responses'!$J$5),'Auto Responses'!$J$5,$O87*$L87)</f>
        <v>N/A</v>
      </c>
      <c r="Q87" s="107">
        <f t="shared" si="7"/>
        <v>0</v>
      </c>
      <c r="R87" s="107">
        <f t="shared" si="12"/>
        <v>0</v>
      </c>
      <c r="S87" s="107">
        <f t="shared" si="8"/>
        <v>0</v>
      </c>
      <c r="T87" s="107">
        <f t="shared" si="9"/>
        <v>0</v>
      </c>
      <c r="U87" s="107">
        <f t="shared" si="13"/>
        <v>30</v>
      </c>
      <c r="V87" s="107">
        <f t="shared" si="10"/>
        <v>0</v>
      </c>
    </row>
    <row r="88" spans="1:22" ht="57" x14ac:dyDescent="0.2">
      <c r="A88" s="4" t="str">
        <f>Questions!$A88</f>
        <v>AAAI-11</v>
      </c>
      <c r="B88" s="4" t="str">
        <f t="shared" si="11"/>
        <v>AAAI</v>
      </c>
      <c r="C88" s="4" t="str">
        <f>VLOOKUP($A88,Questions!$A$3:$L$333,2,0)&amp;""</f>
        <v>Can you provide the institution documentation regarding the retention period for those logs, how logs are protected, and whether they are accessible to the customer (and if so, how)?*</v>
      </c>
      <c r="D88" s="4" t="str">
        <f>VLOOKUP($A88,Questions!$A$3:$L$333,11,0)&amp;""</f>
        <v/>
      </c>
      <c r="E88" s="4" t="str">
        <f>VLOOKUP($A88,Questions!$A$3:$L$333,12,0)&amp;""</f>
        <v>Product</v>
      </c>
      <c r="F88" s="4" t="str">
        <f>VLOOKUP($A88,'Institution Evaluation'!$A$56:$K$345,3,0)&amp;""</f>
        <v/>
      </c>
      <c r="G88" s="4" t="str">
        <f>VLOOKUP($A88,'Institution Evaluation'!$A$56:$K$345,7,0)&amp;""</f>
        <v>Yes</v>
      </c>
      <c r="H88" s="4" t="str">
        <f>VLOOKUP($A88,'Institution Evaluation'!$A$56:$K$345,8,0)&amp;""</f>
        <v/>
      </c>
      <c r="I88" s="4" t="str">
        <f>VLOOKUP($A88,'Institution Evaluation'!$A$56:$K$345,9,0)&amp;""</f>
        <v>Critical Importance</v>
      </c>
      <c r="J88" s="4" t="str">
        <f>VLOOKUP($A88,'Institution Evaluation'!$A$56:$K$345,10,0)&amp;""</f>
        <v/>
      </c>
      <c r="K88" s="4">
        <f>IF($I88='Auto Responses'!$J$11,20,IF($I88='Auto Responses'!$J$13,5,10))</f>
        <v>20</v>
      </c>
      <c r="L88" s="107">
        <f>IF($E88='Auto Responses'!$L$13, 'Auto Responses'!$J$5,IF(AND($D88='Auto Responses'!$J$27,$H88=""),'Auto Responses'!$J$5,IF(AND($D88='Auto Responses'!$J$27,$H88='Auto Responses'!$J$7),1,IF(AND($D88='Auto Responses'!$J$27,$H88='Auto Responses'!$J$8),0,IF(OR(AND($F88=$G88,$H88=""),$H88='Auto Responses'!$J$7),1,0)))))</f>
        <v>0</v>
      </c>
      <c r="M88" s="4" t="str">
        <f>VLOOKUP($A88,'Institution Evaluation'!$A$56:$K$345,11,0)&amp;""</f>
        <v>FALSE</v>
      </c>
      <c r="N88" s="4">
        <f>IF($J88='Auto Responses'!$J$11,1,IF(AND($J88="",$I88='Auto Responses'!$J$11),1,0))</f>
        <v>1</v>
      </c>
      <c r="O88" s="107">
        <f>IF(OR($F$17='Auto Responses'!$J$4,$E88='Auto Responses'!$L$13,$F88='Auto Responses'!$J$5),'Auto Responses'!$J$5,IF($J88="",$K88,IF($J88='Auto Responses'!$J$13,5,IF($J88='Auto Responses'!$J$12,10,IF($J88='Auto Responses'!$J$11,20,0)))))</f>
        <v>20</v>
      </c>
      <c r="P88" s="107">
        <f>IF(OR($O88='Auto Responses'!$J$5,$L88='Auto Responses'!$J$5),'Auto Responses'!$J$5,$O88*$L88)</f>
        <v>0</v>
      </c>
      <c r="Q88" s="107">
        <f t="shared" si="7"/>
        <v>0</v>
      </c>
      <c r="R88" s="107">
        <f t="shared" si="12"/>
        <v>0</v>
      </c>
      <c r="S88" s="107">
        <f t="shared" si="8"/>
        <v>0</v>
      </c>
      <c r="T88" s="107">
        <f t="shared" si="9"/>
        <v>1</v>
      </c>
      <c r="U88" s="107">
        <f t="shared" si="13"/>
        <v>31</v>
      </c>
      <c r="V88" s="107">
        <f t="shared" si="10"/>
        <v>31</v>
      </c>
    </row>
    <row r="89" spans="1:22" ht="57" x14ac:dyDescent="0.2">
      <c r="A89" s="4" t="str">
        <f>Questions!$A89</f>
        <v>AAAI-12</v>
      </c>
      <c r="B89" s="4" t="str">
        <f t="shared" si="11"/>
        <v>AAAI</v>
      </c>
      <c r="C89" s="4" t="str">
        <f>VLOOKUP($A89,Questions!$A$3:$L$333,2,0)&amp;""</f>
        <v>For customers not using SSO, does your application support integration with other authentication and authorization systems?</v>
      </c>
      <c r="D89" s="4" t="str">
        <f>VLOOKUP($A89,Questions!$A$3:$L$333,11,0)&amp;""</f>
        <v/>
      </c>
      <c r="E89" s="4" t="str">
        <f>VLOOKUP($A89,Questions!$A$3:$L$333,12,0)&amp;""</f>
        <v>Product</v>
      </c>
      <c r="F89" s="4" t="str">
        <f>VLOOKUP($A89,'Institution Evaluation'!$A$56:$K$345,3,0)&amp;""</f>
        <v/>
      </c>
      <c r="G89" s="4" t="str">
        <f>VLOOKUP($A89,'Institution Evaluation'!$A$56:$K$345,7,0)&amp;""</f>
        <v>Yes</v>
      </c>
      <c r="H89" s="4" t="str">
        <f>VLOOKUP($A89,'Institution Evaluation'!$A$56:$K$345,8,0)&amp;""</f>
        <v/>
      </c>
      <c r="I89" s="4" t="str">
        <f>VLOOKUP($A89,'Institution Evaluation'!$A$56:$K$345,9,0)&amp;""</f>
        <v>Standard Importance</v>
      </c>
      <c r="J89" s="4" t="str">
        <f>VLOOKUP($A89,'Institution Evaluation'!$A$56:$K$345,10,0)&amp;""</f>
        <v/>
      </c>
      <c r="K89" s="4">
        <f>IF($I89='Auto Responses'!$J$11,20,IF($I89='Auto Responses'!$J$13,5,10))</f>
        <v>10</v>
      </c>
      <c r="L89" s="107">
        <f>IF($E89='Auto Responses'!$L$13, 'Auto Responses'!$J$5,IF(AND($D89='Auto Responses'!$J$27,$H89=""),'Auto Responses'!$J$5,IF(AND($D89='Auto Responses'!$J$27,$H89='Auto Responses'!$J$7),1,IF(AND($D89='Auto Responses'!$J$27,$H89='Auto Responses'!$J$8),0,IF(OR(AND($F89=$G89,$H89=""),$H89='Auto Responses'!$J$7),1,0)))))</f>
        <v>0</v>
      </c>
      <c r="M89" s="4" t="str">
        <f>VLOOKUP($A89,'Institution Evaluation'!$A$56:$K$345,11,0)&amp;""</f>
        <v>FALSE</v>
      </c>
      <c r="N89" s="4">
        <f>IF($J89='Auto Responses'!$J$11,1,IF(AND($J89="",$I89='Auto Responses'!$J$11),1,0))</f>
        <v>0</v>
      </c>
      <c r="O89" s="107">
        <f>IF(OR($F$17='Auto Responses'!$J$4,$E89='Auto Responses'!$L$13,$F89='Auto Responses'!$J$5),'Auto Responses'!$J$5,IF($J89="",$K89,IF($J89='Auto Responses'!$J$13,5,IF($J89='Auto Responses'!$J$12,10,IF($J89='Auto Responses'!$J$11,20,0)))))</f>
        <v>10</v>
      </c>
      <c r="P89" s="107">
        <f>IF(OR($O89='Auto Responses'!$J$5,$L89='Auto Responses'!$J$5),'Auto Responses'!$J$5,$O89*$L89)</f>
        <v>0</v>
      </c>
      <c r="Q89" s="107">
        <f t="shared" si="7"/>
        <v>0</v>
      </c>
      <c r="R89" s="107">
        <f t="shared" si="12"/>
        <v>0</v>
      </c>
      <c r="S89" s="107">
        <f t="shared" si="8"/>
        <v>0</v>
      </c>
      <c r="T89" s="107">
        <f t="shared" si="9"/>
        <v>0</v>
      </c>
      <c r="U89" s="107">
        <f t="shared" si="13"/>
        <v>31</v>
      </c>
      <c r="V89" s="107">
        <f t="shared" si="10"/>
        <v>0</v>
      </c>
    </row>
    <row r="90" spans="1:22" ht="57" x14ac:dyDescent="0.2">
      <c r="A90" s="4" t="str">
        <f>Questions!$A90</f>
        <v>AAAI-13</v>
      </c>
      <c r="B90" s="4" t="str">
        <f t="shared" si="11"/>
        <v>AAAI</v>
      </c>
      <c r="C90" s="4" t="str">
        <f>VLOOKUP($A90,Questions!$A$3:$L$333,2,0)&amp;""</f>
        <v>Do you allow the customer to specify attribute mappings for any needed information beyond a user identifier? (e.g., Reference eduPerson, ePPA/ePPN/ePE)</v>
      </c>
      <c r="D90" s="4" t="str">
        <f>VLOOKUP($A90,Questions!$A$3:$L$333,11,0)&amp;""</f>
        <v/>
      </c>
      <c r="E90" s="4" t="str">
        <f>VLOOKUP($A90,Questions!$A$3:$L$333,12,0)&amp;""</f>
        <v>Product</v>
      </c>
      <c r="F90" s="4" t="str">
        <f>VLOOKUP($A90,'Institution Evaluation'!$A$56:$K$345,3,0)&amp;""</f>
        <v/>
      </c>
      <c r="G90" s="4" t="str">
        <f>VLOOKUP($A90,'Institution Evaluation'!$A$56:$K$345,7,0)&amp;""</f>
        <v>Yes</v>
      </c>
      <c r="H90" s="4" t="str">
        <f>VLOOKUP($A90,'Institution Evaluation'!$A$56:$K$345,8,0)&amp;""</f>
        <v/>
      </c>
      <c r="I90" s="4" t="str">
        <f>VLOOKUP($A90,'Institution Evaluation'!$A$56:$K$345,9,0)&amp;""</f>
        <v>Standard Importance</v>
      </c>
      <c r="J90" s="4" t="str">
        <f>VLOOKUP($A90,'Institution Evaluation'!$A$56:$K$345,10,0)&amp;""</f>
        <v/>
      </c>
      <c r="K90" s="4">
        <f>IF($I90='Auto Responses'!$J$11,20,IF($I90='Auto Responses'!$J$13,5,10))</f>
        <v>10</v>
      </c>
      <c r="L90" s="107">
        <f>IF($E90='Auto Responses'!$L$13, 'Auto Responses'!$J$5,IF(AND($D90='Auto Responses'!$J$27,$H90=""),'Auto Responses'!$J$5,IF(AND($D90='Auto Responses'!$J$27,$H90='Auto Responses'!$J$7),1,IF(AND($D90='Auto Responses'!$J$27,$H90='Auto Responses'!$J$8),0,IF(OR(AND($F90=$G90,$H90=""),$H90='Auto Responses'!$J$7),1,0)))))</f>
        <v>0</v>
      </c>
      <c r="M90" s="4" t="str">
        <f>VLOOKUP($A90,'Institution Evaluation'!$A$56:$K$345,11,0)&amp;""</f>
        <v>FALSE</v>
      </c>
      <c r="N90" s="4">
        <f>IF($J90='Auto Responses'!$J$11,1,IF(AND($J90="",$I90='Auto Responses'!$J$11),1,0))</f>
        <v>0</v>
      </c>
      <c r="O90" s="107">
        <f>IF(OR($F$17='Auto Responses'!$J$4,$E90='Auto Responses'!$L$13,$F90='Auto Responses'!$J$5),'Auto Responses'!$J$5,IF($J90="",$K90,IF($J90='Auto Responses'!$J$13,5,IF($J90='Auto Responses'!$J$12,10,IF($J90='Auto Responses'!$J$11,20,0)))))</f>
        <v>10</v>
      </c>
      <c r="P90" s="107">
        <f>IF(OR($O90='Auto Responses'!$J$5,$L90='Auto Responses'!$J$5),'Auto Responses'!$J$5,$O90*$L90)</f>
        <v>0</v>
      </c>
      <c r="Q90" s="107">
        <f t="shared" si="7"/>
        <v>0</v>
      </c>
      <c r="R90" s="107">
        <f t="shared" si="12"/>
        <v>0</v>
      </c>
      <c r="S90" s="107">
        <f t="shared" si="8"/>
        <v>0</v>
      </c>
      <c r="T90" s="107">
        <f t="shared" si="9"/>
        <v>0</v>
      </c>
      <c r="U90" s="107">
        <f t="shared" si="13"/>
        <v>31</v>
      </c>
      <c r="V90" s="107">
        <f t="shared" si="10"/>
        <v>0</v>
      </c>
    </row>
    <row r="91" spans="1:22" ht="57" x14ac:dyDescent="0.2">
      <c r="A91" s="4" t="str">
        <f>Questions!$A91</f>
        <v>AAAI-14</v>
      </c>
      <c r="B91" s="4" t="str">
        <f t="shared" si="11"/>
        <v>AAAI</v>
      </c>
      <c r="C91" s="4" t="str">
        <f>VLOOKUP($A91,Questions!$A$3:$L$333,2,0)&amp;""</f>
        <v>For customers not using SSO, does your application support directory integration for user accounts?</v>
      </c>
      <c r="D91" s="4" t="str">
        <f>VLOOKUP($A91,Questions!$A$3:$L$333,11,0)&amp;""</f>
        <v/>
      </c>
      <c r="E91" s="4" t="str">
        <f>VLOOKUP($A91,Questions!$A$3:$L$333,12,0)&amp;""</f>
        <v>Product</v>
      </c>
      <c r="F91" s="4" t="str">
        <f>VLOOKUP($A91,'Institution Evaluation'!$A$56:$K$345,3,0)&amp;""</f>
        <v/>
      </c>
      <c r="G91" s="4" t="str">
        <f>VLOOKUP($A91,'Institution Evaluation'!$A$56:$K$345,7,0)&amp;""</f>
        <v>Yes</v>
      </c>
      <c r="H91" s="4" t="str">
        <f>VLOOKUP($A91,'Institution Evaluation'!$A$56:$K$345,8,0)&amp;""</f>
        <v/>
      </c>
      <c r="I91" s="4" t="str">
        <f>VLOOKUP($A91,'Institution Evaluation'!$A$56:$K$345,9,0)&amp;""</f>
        <v>Standard Importance</v>
      </c>
      <c r="J91" s="4" t="str">
        <f>VLOOKUP($A91,'Institution Evaluation'!$A$56:$K$345,10,0)&amp;""</f>
        <v/>
      </c>
      <c r="K91" s="4">
        <f>IF($I91='Auto Responses'!$J$11,20,IF($I91='Auto Responses'!$J$13,5,10))</f>
        <v>10</v>
      </c>
      <c r="L91" s="107">
        <f>IF($E91='Auto Responses'!$L$13, 'Auto Responses'!$J$5,IF(AND($D91='Auto Responses'!$J$27,$H91=""),'Auto Responses'!$J$5,IF(AND($D91='Auto Responses'!$J$27,$H91='Auto Responses'!$J$7),1,IF(AND($D91='Auto Responses'!$J$27,$H91='Auto Responses'!$J$8),0,IF(OR(AND($F91=$G91,$H91=""),$H91='Auto Responses'!$J$7),1,0)))))</f>
        <v>0</v>
      </c>
      <c r="M91" s="4" t="str">
        <f>VLOOKUP($A91,'Institution Evaluation'!$A$56:$K$345,11,0)&amp;""</f>
        <v>FALSE</v>
      </c>
      <c r="N91" s="4">
        <f>IF($J91='Auto Responses'!$J$11,1,IF(AND($J91="",$I91='Auto Responses'!$J$11),1,0))</f>
        <v>0</v>
      </c>
      <c r="O91" s="107">
        <f>IF(OR($F$17='Auto Responses'!$J$4,$E91='Auto Responses'!$L$13,$F91='Auto Responses'!$J$5),'Auto Responses'!$J$5,IF($J91="",$K91,IF($J91='Auto Responses'!$J$13,5,IF($J91='Auto Responses'!$J$12,10,IF($J91='Auto Responses'!$J$11,20,0)))))</f>
        <v>10</v>
      </c>
      <c r="P91" s="107">
        <f>IF(OR($O91='Auto Responses'!$J$5,$L91='Auto Responses'!$J$5),'Auto Responses'!$J$5,$O91*$L91)</f>
        <v>0</v>
      </c>
      <c r="Q91" s="107">
        <f t="shared" si="7"/>
        <v>0</v>
      </c>
      <c r="R91" s="107">
        <f t="shared" si="12"/>
        <v>0</v>
      </c>
      <c r="S91" s="107">
        <f t="shared" si="8"/>
        <v>0</v>
      </c>
      <c r="T91" s="107">
        <f t="shared" si="9"/>
        <v>0</v>
      </c>
      <c r="U91" s="107">
        <f t="shared" si="13"/>
        <v>31</v>
      </c>
      <c r="V91" s="107">
        <f t="shared" si="10"/>
        <v>0</v>
      </c>
    </row>
    <row r="92" spans="1:22" ht="57" x14ac:dyDescent="0.2">
      <c r="A92" s="4" t="str">
        <f>Questions!$A92</f>
        <v>AAAI-15</v>
      </c>
      <c r="B92" s="4" t="str">
        <f t="shared" si="11"/>
        <v>AAAI</v>
      </c>
      <c r="C92" s="4" t="str">
        <f>VLOOKUP($A92,Questions!$A$3:$L$333,2,0)&amp;""</f>
        <v>Does your solution support any of the following web SSO standards: SAML2 (with redirect flow), OIDC, CAS, or other?</v>
      </c>
      <c r="D92" s="4" t="str">
        <f>VLOOKUP($A92,Questions!$A$3:$L$333,11,0)&amp;""</f>
        <v/>
      </c>
      <c r="E92" s="4" t="str">
        <f>VLOOKUP($A92,Questions!$A$3:$L$333,12,0)&amp;""</f>
        <v>Product</v>
      </c>
      <c r="F92" s="4" t="str">
        <f>VLOOKUP($A92,'Institution Evaluation'!$A$56:$K$345,3,0)&amp;""</f>
        <v/>
      </c>
      <c r="G92" s="4" t="str">
        <f>VLOOKUP($A92,'Institution Evaluation'!$A$56:$K$345,7,0)&amp;""</f>
        <v>Yes</v>
      </c>
      <c r="H92" s="4" t="str">
        <f>VLOOKUP($A92,'Institution Evaluation'!$A$56:$K$345,8,0)&amp;""</f>
        <v/>
      </c>
      <c r="I92" s="4" t="str">
        <f>VLOOKUP($A92,'Institution Evaluation'!$A$56:$K$345,9,0)&amp;""</f>
        <v>Minor Importance</v>
      </c>
      <c r="J92" s="4" t="str">
        <f>VLOOKUP($A92,'Institution Evaluation'!$A$56:$K$345,10,0)&amp;""</f>
        <v/>
      </c>
      <c r="K92" s="4">
        <f>IF($I92='Auto Responses'!$J$11,20,IF($I92='Auto Responses'!$J$13,5,10))</f>
        <v>5</v>
      </c>
      <c r="L92" s="107">
        <f>IF($E92='Auto Responses'!$L$13, 'Auto Responses'!$J$5,IF(AND($D92='Auto Responses'!$J$27,$H92=""),'Auto Responses'!$J$5,IF(AND($D92='Auto Responses'!$J$27,$H92='Auto Responses'!$J$7),1,IF(AND($D92='Auto Responses'!$J$27,$H92='Auto Responses'!$J$8),0,IF(OR(AND($F92=$G92,$H92=""),$H92='Auto Responses'!$J$7),1,0)))))</f>
        <v>0</v>
      </c>
      <c r="M92" s="4" t="str">
        <f>VLOOKUP($A92,'Institution Evaluation'!$A$56:$K$345,11,0)&amp;""</f>
        <v>FALSE</v>
      </c>
      <c r="N92" s="4">
        <f>IF($J92='Auto Responses'!$J$11,1,IF(AND($J92="",$I92='Auto Responses'!$J$11),1,0))</f>
        <v>0</v>
      </c>
      <c r="O92" s="107">
        <f>IF(OR($F$17='Auto Responses'!$J$4,$E92='Auto Responses'!$L$13,$F92='Auto Responses'!$J$5),'Auto Responses'!$J$5,IF($J92="",$K92,IF($J92='Auto Responses'!$J$13,5,IF($J92='Auto Responses'!$J$12,10,IF($J92='Auto Responses'!$J$11,20,0)))))</f>
        <v>5</v>
      </c>
      <c r="P92" s="107">
        <f>IF(OR($O92='Auto Responses'!$J$5,$L92='Auto Responses'!$J$5),'Auto Responses'!$J$5,$O92*$L92)</f>
        <v>0</v>
      </c>
      <c r="Q92" s="107">
        <f t="shared" si="7"/>
        <v>0</v>
      </c>
      <c r="R92" s="107">
        <f t="shared" si="12"/>
        <v>0</v>
      </c>
      <c r="S92" s="107">
        <f t="shared" si="8"/>
        <v>0</v>
      </c>
      <c r="T92" s="107">
        <f t="shared" si="9"/>
        <v>0</v>
      </c>
      <c r="U92" s="107">
        <f t="shared" si="13"/>
        <v>31</v>
      </c>
      <c r="V92" s="107">
        <f t="shared" si="10"/>
        <v>0</v>
      </c>
    </row>
    <row r="93" spans="1:22" ht="57" x14ac:dyDescent="0.2">
      <c r="A93" s="4" t="str">
        <f>Questions!$A93</f>
        <v>AAAI-16</v>
      </c>
      <c r="B93" s="4" t="str">
        <f t="shared" si="11"/>
        <v>AAAI</v>
      </c>
      <c r="C93" s="4" t="str">
        <f>VLOOKUP($A93,Questions!$A$3:$L$333,2,0)&amp;""</f>
        <v>Do you support differentiation between email address and user identifier?</v>
      </c>
      <c r="D93" s="4" t="str">
        <f>VLOOKUP($A93,Questions!$A$3:$L$333,11,0)&amp;""</f>
        <v/>
      </c>
      <c r="E93" s="4" t="str">
        <f>VLOOKUP($A93,Questions!$A$3:$L$333,12,0)&amp;""</f>
        <v>Product</v>
      </c>
      <c r="F93" s="4" t="str">
        <f>VLOOKUP($A93,'Institution Evaluation'!$A$56:$K$345,3,0)&amp;""</f>
        <v/>
      </c>
      <c r="G93" s="4" t="str">
        <f>VLOOKUP($A93,'Institution Evaluation'!$A$56:$K$345,7,0)&amp;""</f>
        <v>Yes</v>
      </c>
      <c r="H93" s="4" t="str">
        <f>VLOOKUP($A93,'Institution Evaluation'!$A$56:$K$345,8,0)&amp;""</f>
        <v/>
      </c>
      <c r="I93" s="4" t="str">
        <f>VLOOKUP($A93,'Institution Evaluation'!$A$56:$K$345,9,0)&amp;""</f>
        <v>Minor Importance</v>
      </c>
      <c r="J93" s="4" t="str">
        <f>VLOOKUP($A93,'Institution Evaluation'!$A$56:$K$345,10,0)&amp;""</f>
        <v/>
      </c>
      <c r="K93" s="4">
        <f>IF($I93='Auto Responses'!$J$11,20,IF($I93='Auto Responses'!$J$13,5,10))</f>
        <v>5</v>
      </c>
      <c r="L93" s="107">
        <f>IF($E93='Auto Responses'!$L$13, 'Auto Responses'!$J$5,IF(AND($D93='Auto Responses'!$J$27,$H93=""),'Auto Responses'!$J$5,IF(AND($D93='Auto Responses'!$J$27,$H93='Auto Responses'!$J$7),1,IF(AND($D93='Auto Responses'!$J$27,$H93='Auto Responses'!$J$8),0,IF(OR(AND($F93=$G93,$H93=""),$H93='Auto Responses'!$J$7),1,0)))))</f>
        <v>0</v>
      </c>
      <c r="M93" s="4" t="str">
        <f>VLOOKUP($A93,'Institution Evaluation'!$A$56:$K$345,11,0)&amp;""</f>
        <v>FALSE</v>
      </c>
      <c r="N93" s="4">
        <f>IF($J93='Auto Responses'!$J$11,1,IF(AND($J93="",$I93='Auto Responses'!$J$11),1,0))</f>
        <v>0</v>
      </c>
      <c r="O93" s="107">
        <f>IF(OR($F$17='Auto Responses'!$J$4,$E93='Auto Responses'!$L$13,$F93='Auto Responses'!$J$5),'Auto Responses'!$J$5,IF($J93="",$K93,IF($J93='Auto Responses'!$J$13,5,IF($J93='Auto Responses'!$J$12,10,IF($J93='Auto Responses'!$J$11,20,0)))))</f>
        <v>5</v>
      </c>
      <c r="P93" s="107">
        <f>IF(OR($O93='Auto Responses'!$J$5,$L93='Auto Responses'!$J$5),'Auto Responses'!$J$5,$O93*$L93)</f>
        <v>0</v>
      </c>
      <c r="Q93" s="107">
        <f t="shared" si="7"/>
        <v>0</v>
      </c>
      <c r="R93" s="107">
        <f t="shared" si="12"/>
        <v>0</v>
      </c>
      <c r="S93" s="107">
        <f t="shared" si="8"/>
        <v>0</v>
      </c>
      <c r="T93" s="107">
        <f t="shared" si="9"/>
        <v>0</v>
      </c>
      <c r="U93" s="107">
        <f t="shared" si="13"/>
        <v>31</v>
      </c>
      <c r="V93" s="107">
        <f t="shared" si="10"/>
        <v>0</v>
      </c>
    </row>
    <row r="94" spans="1:22" ht="57" x14ac:dyDescent="0.2">
      <c r="A94" s="4" t="str">
        <f>Questions!$A94</f>
        <v>AAAI-17</v>
      </c>
      <c r="B94" s="4" t="str">
        <f t="shared" si="11"/>
        <v>AAAI</v>
      </c>
      <c r="C94" s="4" t="str">
        <f>VLOOKUP($A94,Questions!$A$3:$L$333,2,0)&amp;""</f>
        <v>For customers not using SSO, does your application and/or user frontend/portal support multifactor authentication (e.g., Duo, Google Authenticator, OTP, etc.)?</v>
      </c>
      <c r="D94" s="4" t="str">
        <f>VLOOKUP($A94,Questions!$A$3:$L$333,11,0)&amp;""</f>
        <v/>
      </c>
      <c r="E94" s="4" t="str">
        <f>VLOOKUP($A94,Questions!$A$3:$L$333,12,0)&amp;""</f>
        <v>Product</v>
      </c>
      <c r="F94" s="4" t="str">
        <f>VLOOKUP($A94,'Institution Evaluation'!$A$56:$K$345,3,0)&amp;""</f>
        <v/>
      </c>
      <c r="G94" s="4" t="str">
        <f>VLOOKUP($A94,'Institution Evaluation'!$A$56:$K$345,7,0)&amp;""</f>
        <v>Yes</v>
      </c>
      <c r="H94" s="4" t="str">
        <f>VLOOKUP($A94,'Institution Evaluation'!$A$56:$K$345,8,0)&amp;""</f>
        <v/>
      </c>
      <c r="I94" s="4" t="str">
        <f>VLOOKUP($A94,'Institution Evaluation'!$A$56:$K$345,9,0)&amp;""</f>
        <v>Minor Importance</v>
      </c>
      <c r="J94" s="4" t="str">
        <f>VLOOKUP($A94,'Institution Evaluation'!$A$56:$K$345,10,0)&amp;""</f>
        <v/>
      </c>
      <c r="K94" s="4">
        <f>IF($I94='Auto Responses'!$J$11,20,IF($I94='Auto Responses'!$J$13,5,10))</f>
        <v>5</v>
      </c>
      <c r="L94" s="107">
        <f>IF($E94='Auto Responses'!$L$13, 'Auto Responses'!$J$5,IF(AND($D94='Auto Responses'!$J$27,$H94=""),'Auto Responses'!$J$5,IF(AND($D94='Auto Responses'!$J$27,$H94='Auto Responses'!$J$7),1,IF(AND($D94='Auto Responses'!$J$27,$H94='Auto Responses'!$J$8),0,IF(OR(AND($F94=$G94,$H94=""),$H94='Auto Responses'!$J$7),1,0)))))</f>
        <v>0</v>
      </c>
      <c r="M94" s="4" t="str">
        <f>VLOOKUP($A94,'Institution Evaluation'!$A$56:$K$345,11,0)&amp;""</f>
        <v>FALSE</v>
      </c>
      <c r="N94" s="4">
        <f>IF($J94='Auto Responses'!$J$11,1,IF(AND($J94="",$I94='Auto Responses'!$J$11),1,0))</f>
        <v>0</v>
      </c>
      <c r="O94" s="107">
        <f>IF(OR($F$17='Auto Responses'!$J$4,$E94='Auto Responses'!$L$13,$F94='Auto Responses'!$J$5),'Auto Responses'!$J$5,IF($J94="",$K94,IF($J94='Auto Responses'!$J$13,5,IF($J94='Auto Responses'!$J$12,10,IF($J94='Auto Responses'!$J$11,20,0)))))</f>
        <v>5</v>
      </c>
      <c r="P94" s="107">
        <f>IF(OR($O94='Auto Responses'!$J$5,$L94='Auto Responses'!$J$5),'Auto Responses'!$J$5,$O94*$L94)</f>
        <v>0</v>
      </c>
      <c r="Q94" s="107">
        <f t="shared" si="7"/>
        <v>0</v>
      </c>
      <c r="R94" s="107">
        <f t="shared" si="12"/>
        <v>0</v>
      </c>
      <c r="S94" s="107">
        <f t="shared" si="8"/>
        <v>0</v>
      </c>
      <c r="T94" s="107">
        <f t="shared" si="9"/>
        <v>0</v>
      </c>
      <c r="U94" s="107">
        <f t="shared" si="13"/>
        <v>31</v>
      </c>
      <c r="V94" s="107">
        <f t="shared" si="10"/>
        <v>0</v>
      </c>
    </row>
    <row r="95" spans="1:22" ht="57" x14ac:dyDescent="0.2">
      <c r="A95" s="4" t="str">
        <f>Questions!$A95</f>
        <v>AAAI-18</v>
      </c>
      <c r="B95" s="4" t="str">
        <f t="shared" si="11"/>
        <v>AAAI</v>
      </c>
      <c r="C95" s="4" t="str">
        <f>VLOOKUP($A95,Questions!$A$3:$L$333,2,0)&amp;""</f>
        <v>Does your application automatically lock the session or log out an account after a period of inactivity?</v>
      </c>
      <c r="D95" s="4" t="str">
        <f>VLOOKUP($A95,Questions!$A$3:$L$333,11,0)&amp;""</f>
        <v/>
      </c>
      <c r="E95" s="4" t="str">
        <f>VLOOKUP($A95,Questions!$A$3:$L$333,12,0)&amp;""</f>
        <v>Product</v>
      </c>
      <c r="F95" s="4" t="str">
        <f>VLOOKUP($A95,'Institution Evaluation'!$A$56:$K$345,3,0)&amp;""</f>
        <v/>
      </c>
      <c r="G95" s="4" t="str">
        <f>VLOOKUP($A95,'Institution Evaluation'!$A$56:$K$345,7,0)&amp;""</f>
        <v>Yes</v>
      </c>
      <c r="H95" s="4" t="str">
        <f>VLOOKUP($A95,'Institution Evaluation'!$A$56:$K$345,8,0)&amp;""</f>
        <v/>
      </c>
      <c r="I95" s="4" t="str">
        <f>VLOOKUP($A95,'Institution Evaluation'!$A$56:$K$345,9,0)&amp;""</f>
        <v>Minor Importance</v>
      </c>
      <c r="J95" s="4" t="str">
        <f>VLOOKUP($A95,'Institution Evaluation'!$A$56:$K$345,10,0)&amp;""</f>
        <v/>
      </c>
      <c r="K95" s="4">
        <f>IF($I95='Auto Responses'!$J$11,20,IF($I95='Auto Responses'!$J$13,5,10))</f>
        <v>5</v>
      </c>
      <c r="L95" s="107">
        <f>IF($E95='Auto Responses'!$L$13, 'Auto Responses'!$J$5,IF(AND($D95='Auto Responses'!$J$27,$H95=""),'Auto Responses'!$J$5,IF(AND($D95='Auto Responses'!$J$27,$H95='Auto Responses'!$J$7),1,IF(AND($D95='Auto Responses'!$J$27,$H95='Auto Responses'!$J$8),0,IF(OR(AND($F95=$G95,$H95=""),$H95='Auto Responses'!$J$7),1,0)))))</f>
        <v>0</v>
      </c>
      <c r="M95" s="4" t="str">
        <f>VLOOKUP($A95,'Institution Evaluation'!$A$56:$K$345,11,0)&amp;""</f>
        <v>FALSE</v>
      </c>
      <c r="N95" s="4">
        <f>IF($J95='Auto Responses'!$J$11,1,IF(AND($J95="",$I95='Auto Responses'!$J$11),1,0))</f>
        <v>0</v>
      </c>
      <c r="O95" s="107">
        <f>IF(OR($F$17='Auto Responses'!$J$4,$E95='Auto Responses'!$L$13,$F95='Auto Responses'!$J$5),'Auto Responses'!$J$5,IF($J95="",$K95,IF($J95='Auto Responses'!$J$13,5,IF($J95='Auto Responses'!$J$12,10,IF($J95='Auto Responses'!$J$11,20,0)))))</f>
        <v>5</v>
      </c>
      <c r="P95" s="107">
        <f>IF(OR($O95='Auto Responses'!$J$5,$L95='Auto Responses'!$J$5),'Auto Responses'!$J$5,$O95*$L95)</f>
        <v>0</v>
      </c>
      <c r="Q95" s="107">
        <f t="shared" si="7"/>
        <v>0</v>
      </c>
      <c r="R95" s="107">
        <f t="shared" si="12"/>
        <v>0</v>
      </c>
      <c r="S95" s="107">
        <f t="shared" si="8"/>
        <v>0</v>
      </c>
      <c r="T95" s="107">
        <f t="shared" si="9"/>
        <v>0</v>
      </c>
      <c r="U95" s="107">
        <f t="shared" si="13"/>
        <v>31</v>
      </c>
      <c r="V95" s="107">
        <f t="shared" si="10"/>
        <v>0</v>
      </c>
    </row>
    <row r="96" spans="1:22" ht="57" x14ac:dyDescent="0.2">
      <c r="A96" s="4" t="str">
        <f>Questions!$A96</f>
        <v>CHNG-01</v>
      </c>
      <c r="B96" s="4" t="str">
        <f t="shared" si="11"/>
        <v>CHNG</v>
      </c>
      <c r="C96" s="4" t="str">
        <f>VLOOKUP($A96,Questions!$A$3:$L$333,2,0)&amp;""</f>
        <v>Will the institution be notified of major changes to your environment that could impact the institution's security posture?*</v>
      </c>
      <c r="D96" s="4" t="str">
        <f>VLOOKUP($A96,Questions!$A$3:$L$333,11,0)&amp;""</f>
        <v/>
      </c>
      <c r="E96" s="4" t="str">
        <f>VLOOKUP($A96,Questions!$A$3:$L$333,12,0)&amp;""</f>
        <v>Organization</v>
      </c>
      <c r="F96" s="4" t="str">
        <f>VLOOKUP($A96,'Institution Evaluation'!$A$56:$K$345,3,0)&amp;""</f>
        <v/>
      </c>
      <c r="G96" s="4" t="str">
        <f>VLOOKUP($A96,'Institution Evaluation'!$A$56:$K$345,7,0)&amp;""</f>
        <v>Yes</v>
      </c>
      <c r="H96" s="4" t="str">
        <f>VLOOKUP($A96,'Institution Evaluation'!$A$56:$K$345,8,0)&amp;""</f>
        <v/>
      </c>
      <c r="I96" s="4" t="str">
        <f>VLOOKUP($A96,'Institution Evaluation'!$A$56:$K$345,9,0)&amp;""</f>
        <v>Critical Importance</v>
      </c>
      <c r="J96" s="4" t="str">
        <f>VLOOKUP($A96,'Institution Evaluation'!$A$56:$K$345,10,0)&amp;""</f>
        <v/>
      </c>
      <c r="K96" s="4">
        <f>IF($I96='Auto Responses'!$J$11,20,IF($I96='Auto Responses'!$J$13,5,10))</f>
        <v>20</v>
      </c>
      <c r="L96" s="107">
        <f>IF($E96='Auto Responses'!$L$13, 'Auto Responses'!$J$5,IF(AND($D96='Auto Responses'!$J$27,$H96=""),'Auto Responses'!$J$5,IF(AND($D96='Auto Responses'!$J$27,$H96='Auto Responses'!$J$7),1,IF(AND($D96='Auto Responses'!$J$27,$H96='Auto Responses'!$J$8),0,IF(OR(AND($F96=$G96,$H96=""),$H96='Auto Responses'!$J$7),1,0)))))</f>
        <v>0</v>
      </c>
      <c r="M96" s="4" t="str">
        <f>VLOOKUP($A96,'Institution Evaluation'!$A$56:$K$345,11,0)&amp;""</f>
        <v>FALSE</v>
      </c>
      <c r="N96" s="4">
        <f>IF($J96='Auto Responses'!$J$11,1,IF(AND($J96="",$I96='Auto Responses'!$J$11),1,0))</f>
        <v>1</v>
      </c>
      <c r="O96" s="107">
        <f>IF(OR($E96='Auto Responses'!$L$13,$F96='Auto Responses'!$J$5),'Auto Responses'!$J$5,IF($J96="",$K96,IF($J96='Auto Responses'!$J$13,5,IF($J96='Auto Responses'!$J$12,10,IF($J96='Auto Responses'!$J$11,20,0)))))</f>
        <v>20</v>
      </c>
      <c r="P96" s="107">
        <f>IF(OR($O96='Auto Responses'!$J$5,$L96='Auto Responses'!$J$5),'Auto Responses'!$J$5,$O96*$L96)</f>
        <v>0</v>
      </c>
      <c r="Q96" s="107">
        <f t="shared" si="7"/>
        <v>0</v>
      </c>
      <c r="R96" s="107">
        <f t="shared" si="12"/>
        <v>0</v>
      </c>
      <c r="S96" s="107">
        <f t="shared" si="8"/>
        <v>0</v>
      </c>
      <c r="T96" s="107">
        <f t="shared" si="9"/>
        <v>1</v>
      </c>
      <c r="U96" s="107">
        <f t="shared" si="13"/>
        <v>32</v>
      </c>
      <c r="V96" s="107">
        <f t="shared" si="10"/>
        <v>32</v>
      </c>
    </row>
    <row r="97" spans="1:22" ht="57" x14ac:dyDescent="0.2">
      <c r="A97" s="4" t="str">
        <f>Questions!$A97</f>
        <v>CHNG-02</v>
      </c>
      <c r="B97" s="4" t="str">
        <f t="shared" si="11"/>
        <v>CHNG</v>
      </c>
      <c r="C97" s="4" t="str">
        <f>VLOOKUP($A97,Questions!$A$3:$L$333,2,0)&amp;""</f>
        <v>Does the system support client customizations from one release to another?*</v>
      </c>
      <c r="D97" s="4" t="str">
        <f>VLOOKUP($A97,Questions!$A$3:$L$333,11,0)&amp;""</f>
        <v/>
      </c>
      <c r="E97" s="4" t="str">
        <f>VLOOKUP($A97,Questions!$A$3:$L$333,12,0)&amp;""</f>
        <v>Organization</v>
      </c>
      <c r="F97" s="4" t="str">
        <f>VLOOKUP($A97,'Institution Evaluation'!$A$56:$K$345,3,0)&amp;""</f>
        <v/>
      </c>
      <c r="G97" s="4" t="str">
        <f>VLOOKUP($A97,'Institution Evaluation'!$A$56:$K$345,7,0)&amp;""</f>
        <v>Yes</v>
      </c>
      <c r="H97" s="4" t="str">
        <f>VLOOKUP($A97,'Institution Evaluation'!$A$56:$K$345,8,0)&amp;""</f>
        <v/>
      </c>
      <c r="I97" s="4" t="str">
        <f>VLOOKUP($A97,'Institution Evaluation'!$A$56:$K$345,9,0)&amp;""</f>
        <v>Critical Importance</v>
      </c>
      <c r="J97" s="4" t="str">
        <f>VLOOKUP($A97,'Institution Evaluation'!$A$56:$K$345,10,0)&amp;""</f>
        <v/>
      </c>
      <c r="K97" s="4">
        <f>IF($I97='Auto Responses'!$J$11,20,IF($I97='Auto Responses'!$J$13,5,10))</f>
        <v>20</v>
      </c>
      <c r="L97" s="107">
        <f>IF($E97='Auto Responses'!$L$13, 'Auto Responses'!$J$5,IF(AND($D97='Auto Responses'!$J$27,$H97=""),'Auto Responses'!$J$5,IF(AND($D97='Auto Responses'!$J$27,$H97='Auto Responses'!$J$7),1,IF(AND($D97='Auto Responses'!$J$27,$H97='Auto Responses'!$J$8),0,IF(OR(AND($F97=$G97,$H97=""),$H97='Auto Responses'!$J$7),1,0)))))</f>
        <v>0</v>
      </c>
      <c r="M97" s="4" t="str">
        <f>VLOOKUP($A97,'Institution Evaluation'!$A$56:$K$345,11,0)&amp;""</f>
        <v>FALSE</v>
      </c>
      <c r="N97" s="4">
        <f>IF($J97='Auto Responses'!$J$11,1,IF(AND($J97="",$I97='Auto Responses'!$J$11),1,0))</f>
        <v>1</v>
      </c>
      <c r="O97" s="107">
        <f>IF(OR($E97='Auto Responses'!$L$13,$F97='Auto Responses'!$J$5),'Auto Responses'!$J$5,IF($J97="",$K97,IF($J97='Auto Responses'!$J$13,5,IF($J97='Auto Responses'!$J$12,10,IF($J97='Auto Responses'!$J$11,20,0)))))</f>
        <v>20</v>
      </c>
      <c r="P97" s="107">
        <f>IF(OR($O97='Auto Responses'!$J$5,$L97='Auto Responses'!$J$5),'Auto Responses'!$J$5,$O97*$L97)</f>
        <v>0</v>
      </c>
      <c r="Q97" s="107">
        <f t="shared" si="7"/>
        <v>0</v>
      </c>
      <c r="R97" s="107">
        <f t="shared" si="12"/>
        <v>0</v>
      </c>
      <c r="S97" s="107">
        <f t="shared" si="8"/>
        <v>0</v>
      </c>
      <c r="T97" s="107">
        <f t="shared" si="9"/>
        <v>1</v>
      </c>
      <c r="U97" s="107">
        <f t="shared" si="13"/>
        <v>33</v>
      </c>
      <c r="V97" s="107">
        <f t="shared" si="10"/>
        <v>33</v>
      </c>
    </row>
    <row r="98" spans="1:22" ht="57" x14ac:dyDescent="0.2">
      <c r="A98" s="4" t="str">
        <f>Questions!$A98</f>
        <v>CHNG-03</v>
      </c>
      <c r="B98" s="4" t="str">
        <f t="shared" si="11"/>
        <v>CHNG</v>
      </c>
      <c r="C98" s="4" t="str">
        <f>VLOOKUP($A98,Questions!$A$3:$L$333,2,0)&amp;""</f>
        <v>Do you have an implemented system configuration management process (e.g., secure "gold" images, etc.)?*</v>
      </c>
      <c r="D98" s="4" t="str">
        <f>VLOOKUP($A98,Questions!$A$3:$L$333,11,0)&amp;""</f>
        <v/>
      </c>
      <c r="E98" s="4" t="str">
        <f>VLOOKUP($A98,Questions!$A$3:$L$333,12,0)&amp;""</f>
        <v>Organization</v>
      </c>
      <c r="F98" s="4" t="str">
        <f>VLOOKUP($A98,'Institution Evaluation'!$A$56:$K$345,3,0)&amp;""</f>
        <v/>
      </c>
      <c r="G98" s="4" t="str">
        <f>VLOOKUP($A98,'Institution Evaluation'!$A$56:$K$345,7,0)&amp;""</f>
        <v>Yes</v>
      </c>
      <c r="H98" s="4" t="str">
        <f>VLOOKUP($A98,'Institution Evaluation'!$A$56:$K$345,8,0)&amp;""</f>
        <v/>
      </c>
      <c r="I98" s="4" t="str">
        <f>VLOOKUP($A98,'Institution Evaluation'!$A$56:$K$345,9,0)&amp;""</f>
        <v>Critical Importance</v>
      </c>
      <c r="J98" s="4" t="str">
        <f>VLOOKUP($A98,'Institution Evaluation'!$A$56:$K$345,10,0)&amp;""</f>
        <v/>
      </c>
      <c r="K98" s="4">
        <f>IF($I98='Auto Responses'!$J$11,20,IF($I98='Auto Responses'!$J$13,5,10))</f>
        <v>20</v>
      </c>
      <c r="L98" s="107">
        <f>IF($E98='Auto Responses'!$L$13, 'Auto Responses'!$J$5,IF(AND($D98='Auto Responses'!$J$27,$H98=""),'Auto Responses'!$J$5,IF(AND($D98='Auto Responses'!$J$27,$H98='Auto Responses'!$J$7),1,IF(AND($D98='Auto Responses'!$J$27,$H98='Auto Responses'!$J$8),0,IF(OR(AND($F98=$G98,$H98=""),$H98='Auto Responses'!$J$7),1,0)))))</f>
        <v>0</v>
      </c>
      <c r="M98" s="4" t="str">
        <f>VLOOKUP($A98,'Institution Evaluation'!$A$56:$K$345,11,0)&amp;""</f>
        <v>FALSE</v>
      </c>
      <c r="N98" s="4">
        <f>IF($J98='Auto Responses'!$J$11,1,IF(AND($J98="",$I98='Auto Responses'!$J$11),1,0))</f>
        <v>1</v>
      </c>
      <c r="O98" s="107">
        <f>IF(OR($E98='Auto Responses'!$L$13,$F98='Auto Responses'!$J$5),'Auto Responses'!$J$5,IF($J98="",$K98,IF($J98='Auto Responses'!$J$13,5,IF($J98='Auto Responses'!$J$12,10,IF($J98='Auto Responses'!$J$11,20,0)))))</f>
        <v>20</v>
      </c>
      <c r="P98" s="107">
        <f>IF(OR($O98='Auto Responses'!$J$5,$L98='Auto Responses'!$J$5),'Auto Responses'!$J$5,$O98*$L98)</f>
        <v>0</v>
      </c>
      <c r="Q98" s="107">
        <f t="shared" si="7"/>
        <v>0</v>
      </c>
      <c r="R98" s="107">
        <f t="shared" si="12"/>
        <v>0</v>
      </c>
      <c r="S98" s="107">
        <f t="shared" si="8"/>
        <v>0</v>
      </c>
      <c r="T98" s="107">
        <f t="shared" si="9"/>
        <v>1</v>
      </c>
      <c r="U98" s="107">
        <f t="shared" si="13"/>
        <v>34</v>
      </c>
      <c r="V98" s="107">
        <f t="shared" si="10"/>
        <v>34</v>
      </c>
    </row>
    <row r="99" spans="1:22" ht="57" x14ac:dyDescent="0.2">
      <c r="A99" s="4" t="str">
        <f>Questions!$A99</f>
        <v>CHNG-04</v>
      </c>
      <c r="B99" s="4" t="str">
        <f t="shared" si="11"/>
        <v>CHNG</v>
      </c>
      <c r="C99" s="4" t="str">
        <f>VLOOKUP($A99,Questions!$A$3:$L$333,2,0)&amp;""</f>
        <v>Do you have a documented change management process?</v>
      </c>
      <c r="D99" s="4" t="str">
        <f>VLOOKUP($A99,Questions!$A$3:$L$333,11,0)&amp;""</f>
        <v/>
      </c>
      <c r="E99" s="4" t="str">
        <f>VLOOKUP($A99,Questions!$A$3:$L$333,12,0)&amp;""</f>
        <v>Organization</v>
      </c>
      <c r="F99" s="4" t="str">
        <f>VLOOKUP($A99,'Institution Evaluation'!$A$56:$K$345,3,0)&amp;""</f>
        <v/>
      </c>
      <c r="G99" s="4" t="str">
        <f>VLOOKUP($A99,'Institution Evaluation'!$A$56:$K$345,7,0)&amp;""</f>
        <v>Yes</v>
      </c>
      <c r="H99" s="4" t="str">
        <f>VLOOKUP($A99,'Institution Evaluation'!$A$56:$K$345,8,0)&amp;""</f>
        <v/>
      </c>
      <c r="I99" s="4" t="str">
        <f>VLOOKUP($A99,'Institution Evaluation'!$A$56:$K$345,9,0)&amp;""</f>
        <v>Standard Importance</v>
      </c>
      <c r="J99" s="4" t="str">
        <f>VLOOKUP($A99,'Institution Evaluation'!$A$56:$K$345,10,0)&amp;""</f>
        <v/>
      </c>
      <c r="K99" s="4">
        <f>IF($I99='Auto Responses'!$J$11,20,IF($I99='Auto Responses'!$J$13,5,10))</f>
        <v>10</v>
      </c>
      <c r="L99" s="107">
        <f>IF($E99='Auto Responses'!$L$13, 'Auto Responses'!$J$5,IF(AND($D99='Auto Responses'!$J$27,$H99=""),'Auto Responses'!$J$5,IF(AND($D99='Auto Responses'!$J$27,$H99='Auto Responses'!$J$7),1,IF(AND($D99='Auto Responses'!$J$27,$H99='Auto Responses'!$J$8),0,IF(OR(AND($F99=$G99,$H99=""),$H99='Auto Responses'!$J$7),1,0)))))</f>
        <v>0</v>
      </c>
      <c r="M99" s="4" t="str">
        <f>VLOOKUP($A99,'Institution Evaluation'!$A$56:$K$345,11,0)&amp;""</f>
        <v>FALSE</v>
      </c>
      <c r="N99" s="4">
        <f>IF($J99='Auto Responses'!$J$11,1,IF(AND($J99="",$I99='Auto Responses'!$J$11),1,0))</f>
        <v>0</v>
      </c>
      <c r="O99" s="107">
        <f>IF(OR($E99='Auto Responses'!$L$13,$F99='Auto Responses'!$J$5),'Auto Responses'!$J$5,IF($J99="",$K99,IF($J99='Auto Responses'!$J$13,5,IF($J99='Auto Responses'!$J$12,10,IF($J99='Auto Responses'!$J$11,20,0)))))</f>
        <v>10</v>
      </c>
      <c r="P99" s="107">
        <f>IF(OR($O99='Auto Responses'!$J$5,$L99='Auto Responses'!$J$5),'Auto Responses'!$J$5,$O99*$L99)</f>
        <v>0</v>
      </c>
      <c r="Q99" s="107">
        <f t="shared" si="7"/>
        <v>0</v>
      </c>
      <c r="R99" s="107">
        <f t="shared" si="12"/>
        <v>0</v>
      </c>
      <c r="S99" s="107">
        <f t="shared" si="8"/>
        <v>0</v>
      </c>
      <c r="T99" s="107">
        <f t="shared" si="9"/>
        <v>0</v>
      </c>
      <c r="U99" s="107">
        <f t="shared" si="13"/>
        <v>34</v>
      </c>
      <c r="V99" s="107">
        <f t="shared" si="10"/>
        <v>0</v>
      </c>
    </row>
    <row r="100" spans="1:22" ht="57" x14ac:dyDescent="0.2">
      <c r="A100" s="4" t="str">
        <f>Questions!$A100</f>
        <v>CHNG-05</v>
      </c>
      <c r="B100" s="4" t="str">
        <f t="shared" si="11"/>
        <v>CHNG</v>
      </c>
      <c r="C100" s="4" t="str">
        <f>VLOOKUP($A100,Questions!$A$3:$L$333,2,0)&amp;""</f>
        <v>Does your change management process minimally include authorization, impact analysis, testing, and validation before moving changes to production?</v>
      </c>
      <c r="D100" s="4" t="str">
        <f>VLOOKUP($A100,Questions!$A$3:$L$333,11,0)&amp;""</f>
        <v/>
      </c>
      <c r="E100" s="4" t="str">
        <f>VLOOKUP($A100,Questions!$A$3:$L$333,12,0)&amp;""</f>
        <v>Organization</v>
      </c>
      <c r="F100" s="4" t="str">
        <f>VLOOKUP($A100,'Institution Evaluation'!$A$56:$K$345,3,0)&amp;""</f>
        <v/>
      </c>
      <c r="G100" s="4" t="str">
        <f>VLOOKUP($A100,'Institution Evaluation'!$A$56:$K$345,7,0)&amp;""</f>
        <v>Yes</v>
      </c>
      <c r="H100" s="4" t="str">
        <f>VLOOKUP($A100,'Institution Evaluation'!$A$56:$K$345,8,0)&amp;""</f>
        <v/>
      </c>
      <c r="I100" s="4" t="str">
        <f>VLOOKUP($A100,'Institution Evaluation'!$A$56:$K$345,9,0)&amp;""</f>
        <v>Standard Importance</v>
      </c>
      <c r="J100" s="4" t="str">
        <f>VLOOKUP($A100,'Institution Evaluation'!$A$56:$K$345,10,0)&amp;""</f>
        <v/>
      </c>
      <c r="K100" s="4">
        <f>IF($I100='Auto Responses'!$J$11,20,IF($I100='Auto Responses'!$J$13,5,10))</f>
        <v>10</v>
      </c>
      <c r="L100" s="107">
        <f>IF($E100='Auto Responses'!$L$13, 'Auto Responses'!$J$5,IF(AND($D100='Auto Responses'!$J$27,$H100=""),'Auto Responses'!$J$5,IF(AND($D100='Auto Responses'!$J$27,$H100='Auto Responses'!$J$7),1,IF(AND($D100='Auto Responses'!$J$27,$H100='Auto Responses'!$J$8),0,IF(OR(AND($F100=$G100,$H100=""),$H100='Auto Responses'!$J$7),1,0)))))</f>
        <v>0</v>
      </c>
      <c r="M100" s="4" t="str">
        <f>VLOOKUP($A100,'Institution Evaluation'!$A$56:$K$345,11,0)&amp;""</f>
        <v>FALSE</v>
      </c>
      <c r="N100" s="4">
        <f>IF($J100='Auto Responses'!$J$11,1,IF(AND($J100="",$I100='Auto Responses'!$J$11),1,0))</f>
        <v>0</v>
      </c>
      <c r="O100" s="107">
        <f>IF(OR($E100='Auto Responses'!$L$13,$F100='Auto Responses'!$J$5),'Auto Responses'!$J$5,IF($J100="",$K100,IF($J100='Auto Responses'!$J$13,5,IF($J100='Auto Responses'!$J$12,10,IF($J100='Auto Responses'!$J$11,20,0)))))</f>
        <v>10</v>
      </c>
      <c r="P100" s="107">
        <f>IF(OR($O100='Auto Responses'!$J$5,$L100='Auto Responses'!$J$5),'Auto Responses'!$J$5,$O100*$L100)</f>
        <v>0</v>
      </c>
      <c r="Q100" s="107">
        <f t="shared" si="7"/>
        <v>0</v>
      </c>
      <c r="R100" s="107">
        <f t="shared" si="12"/>
        <v>0</v>
      </c>
      <c r="S100" s="107">
        <f t="shared" si="8"/>
        <v>0</v>
      </c>
      <c r="T100" s="107">
        <f t="shared" si="9"/>
        <v>0</v>
      </c>
      <c r="U100" s="107">
        <f t="shared" si="13"/>
        <v>34</v>
      </c>
      <c r="V100" s="107">
        <f t="shared" si="10"/>
        <v>0</v>
      </c>
    </row>
    <row r="101" spans="1:22" ht="57" x14ac:dyDescent="0.2">
      <c r="A101" s="4" t="str">
        <f>Questions!$A101</f>
        <v>CHNG-06</v>
      </c>
      <c r="B101" s="4" t="str">
        <f t="shared" si="11"/>
        <v>CHNG</v>
      </c>
      <c r="C101" s="4" t="str">
        <f>VLOOKUP($A101,Questions!$A$3:$L$333,2,0)&amp;""</f>
        <v>Does your change management process verify that all required third-party libraries and dependencies are still supported with each major change?</v>
      </c>
      <c r="D101" s="4" t="str">
        <f>VLOOKUP($A101,Questions!$A$3:$L$333,11,0)&amp;""</f>
        <v/>
      </c>
      <c r="E101" s="4" t="str">
        <f>VLOOKUP($A101,Questions!$A$3:$L$333,12,0)&amp;""</f>
        <v>Organization</v>
      </c>
      <c r="F101" s="4" t="str">
        <f>VLOOKUP($A101,'Institution Evaluation'!$A$56:$K$345,3,0)&amp;""</f>
        <v/>
      </c>
      <c r="G101" s="4" t="str">
        <f>VLOOKUP($A101,'Institution Evaluation'!$A$56:$K$345,7,0)&amp;""</f>
        <v>Yes</v>
      </c>
      <c r="H101" s="4" t="str">
        <f>VLOOKUP($A101,'Institution Evaluation'!$A$56:$K$345,8,0)&amp;""</f>
        <v/>
      </c>
      <c r="I101" s="4" t="str">
        <f>VLOOKUP($A101,'Institution Evaluation'!$A$56:$K$345,9,0)&amp;""</f>
        <v>Standard Importance</v>
      </c>
      <c r="J101" s="4" t="str">
        <f>VLOOKUP($A101,'Institution Evaluation'!$A$56:$K$345,10,0)&amp;""</f>
        <v/>
      </c>
      <c r="K101" s="4">
        <f>IF($I101='Auto Responses'!$J$11,20,IF($I101='Auto Responses'!$J$13,5,10))</f>
        <v>10</v>
      </c>
      <c r="L101" s="107">
        <f>IF($E101='Auto Responses'!$L$13, 'Auto Responses'!$J$5,IF(AND($D101='Auto Responses'!$J$27,$H101=""),'Auto Responses'!$J$5,IF(AND($D101='Auto Responses'!$J$27,$H101='Auto Responses'!$J$7),1,IF(AND($D101='Auto Responses'!$J$27,$H101='Auto Responses'!$J$8),0,IF(OR(AND($F101=$G101,$H101=""),$H101='Auto Responses'!$J$7),1,0)))))</f>
        <v>0</v>
      </c>
      <c r="M101" s="4" t="str">
        <f>VLOOKUP($A101,'Institution Evaluation'!$A$56:$K$345,11,0)&amp;""</f>
        <v>FALSE</v>
      </c>
      <c r="N101" s="4">
        <f>IF($J101='Auto Responses'!$J$11,1,IF(AND($J101="",$I101='Auto Responses'!$J$11),1,0))</f>
        <v>0</v>
      </c>
      <c r="O101" s="107">
        <f>IF(OR($E101='Auto Responses'!$L$13,$F101='Auto Responses'!$J$5),'Auto Responses'!$J$5,IF($J101="",$K101,IF($J101='Auto Responses'!$J$13,5,IF($J101='Auto Responses'!$J$12,10,IF($J101='Auto Responses'!$J$11,20,0)))))</f>
        <v>10</v>
      </c>
      <c r="P101" s="107">
        <f>IF(OR($O101='Auto Responses'!$J$5,$L101='Auto Responses'!$J$5),'Auto Responses'!$J$5,$O101*$L101)</f>
        <v>0</v>
      </c>
      <c r="Q101" s="107">
        <f t="shared" si="7"/>
        <v>0</v>
      </c>
      <c r="R101" s="107">
        <f t="shared" si="12"/>
        <v>0</v>
      </c>
      <c r="S101" s="107">
        <f t="shared" si="8"/>
        <v>0</v>
      </c>
      <c r="T101" s="107">
        <f t="shared" si="9"/>
        <v>0</v>
      </c>
      <c r="U101" s="107">
        <f t="shared" si="13"/>
        <v>34</v>
      </c>
      <c r="V101" s="107">
        <f t="shared" si="10"/>
        <v>0</v>
      </c>
    </row>
    <row r="102" spans="1:22" ht="57" x14ac:dyDescent="0.2">
      <c r="A102" s="4" t="str">
        <f>Questions!$A102</f>
        <v>CHNG-07</v>
      </c>
      <c r="B102" s="4" t="str">
        <f t="shared" si="11"/>
        <v>CHNG</v>
      </c>
      <c r="C102" s="4" t="str">
        <f>VLOOKUP($A102,Questions!$A$3:$L$333,2,0)&amp;""</f>
        <v>Do you have policy and procedure, currently implemented, managing how critical patches are applied to all systems and applications?</v>
      </c>
      <c r="D102" s="4" t="str">
        <f>VLOOKUP($A102,Questions!$A$3:$L$333,11,0)&amp;""</f>
        <v/>
      </c>
      <c r="E102" s="4" t="str">
        <f>VLOOKUP($A102,Questions!$A$3:$L$333,12,0)&amp;""</f>
        <v>Organization</v>
      </c>
      <c r="F102" s="4" t="str">
        <f>VLOOKUP($A102,'Institution Evaluation'!$A$56:$K$345,3,0)&amp;""</f>
        <v/>
      </c>
      <c r="G102" s="4" t="str">
        <f>VLOOKUP($A102,'Institution Evaluation'!$A$56:$K$345,7,0)&amp;""</f>
        <v>Yes</v>
      </c>
      <c r="H102" s="4" t="str">
        <f>VLOOKUP($A102,'Institution Evaluation'!$A$56:$K$345,8,0)&amp;""</f>
        <v/>
      </c>
      <c r="I102" s="4" t="str">
        <f>VLOOKUP($A102,'Institution Evaluation'!$A$56:$K$345,9,0)&amp;""</f>
        <v>Standard Importance</v>
      </c>
      <c r="J102" s="4" t="str">
        <f>VLOOKUP($A102,'Institution Evaluation'!$A$56:$K$345,10,0)&amp;""</f>
        <v/>
      </c>
      <c r="K102" s="4">
        <f>IF($I102='Auto Responses'!$J$11,20,IF($I102='Auto Responses'!$J$13,5,10))</f>
        <v>10</v>
      </c>
      <c r="L102" s="107">
        <f>IF($E102='Auto Responses'!$L$13, 'Auto Responses'!$J$5,IF(AND($D102='Auto Responses'!$J$27,$H102=""),'Auto Responses'!$J$5,IF(AND($D102='Auto Responses'!$J$27,$H102='Auto Responses'!$J$7),1,IF(AND($D102='Auto Responses'!$J$27,$H102='Auto Responses'!$J$8),0,IF(OR(AND($F102=$G102,$H102=""),$H102='Auto Responses'!$J$7),1,0)))))</f>
        <v>0</v>
      </c>
      <c r="M102" s="4" t="str">
        <f>VLOOKUP($A102,'Institution Evaluation'!$A$56:$K$345,11,0)&amp;""</f>
        <v>FALSE</v>
      </c>
      <c r="N102" s="4">
        <f>IF($J102='Auto Responses'!$J$11,1,IF(AND($J102="",$I102='Auto Responses'!$J$11),1,0))</f>
        <v>0</v>
      </c>
      <c r="O102" s="107">
        <f>IF(OR($E102='Auto Responses'!$L$13,$F102='Auto Responses'!$J$5),'Auto Responses'!$J$5,IF($J102="",$K102,IF($J102='Auto Responses'!$J$13,5,IF($J102='Auto Responses'!$J$12,10,IF($J102='Auto Responses'!$J$11,20,0)))))</f>
        <v>10</v>
      </c>
      <c r="P102" s="107">
        <f>IF(OR($O102='Auto Responses'!$J$5,$L102='Auto Responses'!$J$5),'Auto Responses'!$J$5,$O102*$L102)</f>
        <v>0</v>
      </c>
      <c r="Q102" s="107">
        <f t="shared" si="7"/>
        <v>0</v>
      </c>
      <c r="R102" s="107">
        <f t="shared" si="12"/>
        <v>0</v>
      </c>
      <c r="S102" s="107">
        <f t="shared" si="8"/>
        <v>0</v>
      </c>
      <c r="T102" s="107">
        <f t="shared" si="9"/>
        <v>0</v>
      </c>
      <c r="U102" s="107">
        <f t="shared" si="13"/>
        <v>34</v>
      </c>
      <c r="V102" s="107">
        <f t="shared" si="10"/>
        <v>0</v>
      </c>
    </row>
    <row r="103" spans="1:22" ht="57" x14ac:dyDescent="0.2">
      <c r="A103" s="4" t="str">
        <f>Questions!$A103</f>
        <v>CHNG-08</v>
      </c>
      <c r="B103" s="4" t="str">
        <f t="shared" si="11"/>
        <v>CHNG</v>
      </c>
      <c r="C103" s="4" t="str">
        <f>VLOOKUP($A103,Questions!$A$3:$L$333,2,0)&amp;""</f>
        <v>Have you implemented policies and procedures that guide how security risks are mitigated until patches can be applied?</v>
      </c>
      <c r="D103" s="4" t="str">
        <f>VLOOKUP($A103,Questions!$A$3:$L$333,11,0)&amp;""</f>
        <v/>
      </c>
      <c r="E103" s="4" t="str">
        <f>VLOOKUP($A103,Questions!$A$3:$L$333,12,0)&amp;""</f>
        <v>Organization</v>
      </c>
      <c r="F103" s="4" t="str">
        <f>VLOOKUP($A103,'Institution Evaluation'!$A$56:$K$345,3,0)&amp;""</f>
        <v/>
      </c>
      <c r="G103" s="4" t="str">
        <f>VLOOKUP($A103,'Institution Evaluation'!$A$56:$K$345,7,0)&amp;""</f>
        <v>Yes</v>
      </c>
      <c r="H103" s="4" t="str">
        <f>VLOOKUP($A103,'Institution Evaluation'!$A$56:$K$345,8,0)&amp;""</f>
        <v/>
      </c>
      <c r="I103" s="4" t="str">
        <f>VLOOKUP($A103,'Institution Evaluation'!$A$56:$K$345,9,0)&amp;""</f>
        <v>Standard Importance</v>
      </c>
      <c r="J103" s="4" t="str">
        <f>VLOOKUP($A103,'Institution Evaluation'!$A$56:$K$345,10,0)&amp;""</f>
        <v/>
      </c>
      <c r="K103" s="4">
        <f>IF($I103='Auto Responses'!$J$11,20,IF($I103='Auto Responses'!$J$13,5,10))</f>
        <v>10</v>
      </c>
      <c r="L103" s="107">
        <f>IF($E103='Auto Responses'!$L$13, 'Auto Responses'!$J$5,IF(AND($D103='Auto Responses'!$J$27,$H103=""),'Auto Responses'!$J$5,IF(AND($D103='Auto Responses'!$J$27,$H103='Auto Responses'!$J$7),1,IF(AND($D103='Auto Responses'!$J$27,$H103='Auto Responses'!$J$8),0,IF(OR(AND($F103=$G103,$H103=""),$H103='Auto Responses'!$J$7),1,0)))))</f>
        <v>0</v>
      </c>
      <c r="M103" s="4" t="str">
        <f>VLOOKUP($A103,'Institution Evaluation'!$A$56:$K$345,11,0)&amp;""</f>
        <v>FALSE</v>
      </c>
      <c r="N103" s="4">
        <f>IF($J103='Auto Responses'!$J$11,1,IF(AND($J103="",$I103='Auto Responses'!$J$11),1,0))</f>
        <v>0</v>
      </c>
      <c r="O103" s="107">
        <f>IF(OR($E103='Auto Responses'!$L$13,$F103='Auto Responses'!$J$5),'Auto Responses'!$J$5,IF($J103="",$K103,IF($J103='Auto Responses'!$J$13,5,IF($J103='Auto Responses'!$J$12,10,IF($J103='Auto Responses'!$J$11,20,0)))))</f>
        <v>10</v>
      </c>
      <c r="P103" s="107">
        <f>IF(OR($O103='Auto Responses'!$J$5,$L103='Auto Responses'!$J$5),'Auto Responses'!$J$5,$O103*$L103)</f>
        <v>0</v>
      </c>
      <c r="Q103" s="107">
        <f t="shared" si="7"/>
        <v>0</v>
      </c>
      <c r="R103" s="107">
        <f t="shared" si="12"/>
        <v>0</v>
      </c>
      <c r="S103" s="107">
        <f t="shared" si="8"/>
        <v>0</v>
      </c>
      <c r="T103" s="107">
        <f t="shared" si="9"/>
        <v>0</v>
      </c>
      <c r="U103" s="107">
        <f t="shared" si="13"/>
        <v>34</v>
      </c>
      <c r="V103" s="107">
        <f t="shared" si="10"/>
        <v>0</v>
      </c>
    </row>
    <row r="104" spans="1:22" ht="57" x14ac:dyDescent="0.2">
      <c r="A104" s="4" t="str">
        <f>Questions!$A104</f>
        <v>CHNG-09</v>
      </c>
      <c r="B104" s="4" t="str">
        <f t="shared" si="11"/>
        <v>CHNG</v>
      </c>
      <c r="C104" s="4" t="str">
        <f>VLOOKUP($A104,Questions!$A$3:$L$333,2,0)&amp;""</f>
        <v>Do clients have the option to not participate in or postpone an upgrade to a new release?</v>
      </c>
      <c r="D104" s="4" t="str">
        <f>VLOOKUP($A104,Questions!$A$3:$L$333,11,0)&amp;""</f>
        <v/>
      </c>
      <c r="E104" s="4" t="str">
        <f>VLOOKUP($A104,Questions!$A$3:$L$333,12,0)&amp;""</f>
        <v>Organization</v>
      </c>
      <c r="F104" s="4" t="str">
        <f>VLOOKUP($A104,'Institution Evaluation'!$A$56:$K$345,3,0)&amp;""</f>
        <v/>
      </c>
      <c r="G104" s="4" t="str">
        <f>VLOOKUP($A104,'Institution Evaluation'!$A$56:$K$345,7,0)&amp;""</f>
        <v>Yes</v>
      </c>
      <c r="H104" s="4" t="str">
        <f>VLOOKUP($A104,'Institution Evaluation'!$A$56:$K$345,8,0)&amp;""</f>
        <v/>
      </c>
      <c r="I104" s="4" t="str">
        <f>VLOOKUP($A104,'Institution Evaluation'!$A$56:$K$345,9,0)&amp;""</f>
        <v>Minor Importance</v>
      </c>
      <c r="J104" s="4" t="str">
        <f>VLOOKUP($A104,'Institution Evaluation'!$A$56:$K$345,10,0)&amp;""</f>
        <v/>
      </c>
      <c r="K104" s="4">
        <f>IF($I104='Auto Responses'!$J$11,20,IF($I104='Auto Responses'!$J$13,5,10))</f>
        <v>5</v>
      </c>
      <c r="L104" s="107">
        <f>IF($E104='Auto Responses'!$L$13, 'Auto Responses'!$J$5,IF(AND($D104='Auto Responses'!$J$27,$H104=""),'Auto Responses'!$J$5,IF(AND($D104='Auto Responses'!$J$27,$H104='Auto Responses'!$J$7),1,IF(AND($D104='Auto Responses'!$J$27,$H104='Auto Responses'!$J$8),0,IF(OR(AND($F104=$G104,$H104=""),$H104='Auto Responses'!$J$7),1,0)))))</f>
        <v>0</v>
      </c>
      <c r="M104" s="4" t="str">
        <f>VLOOKUP($A104,'Institution Evaluation'!$A$56:$K$345,11,0)&amp;""</f>
        <v>FALSE</v>
      </c>
      <c r="N104" s="4">
        <f>IF($J104='Auto Responses'!$J$11,1,IF(AND($J104="",$I104='Auto Responses'!$J$11),1,0))</f>
        <v>0</v>
      </c>
      <c r="O104" s="107">
        <f>IF(OR($E104='Auto Responses'!$L$13,$F104='Auto Responses'!$J$5),'Auto Responses'!$J$5,IF($J104="",$K104,IF($J104='Auto Responses'!$J$13,5,IF($J104='Auto Responses'!$J$12,10,IF($J104='Auto Responses'!$J$11,20,0)))))</f>
        <v>5</v>
      </c>
      <c r="P104" s="107">
        <f>IF(OR($O104='Auto Responses'!$J$5,$L104='Auto Responses'!$J$5),'Auto Responses'!$J$5,$O104*$L104)</f>
        <v>0</v>
      </c>
      <c r="Q104" s="107">
        <f t="shared" si="7"/>
        <v>0</v>
      </c>
      <c r="R104" s="107">
        <f t="shared" si="12"/>
        <v>0</v>
      </c>
      <c r="S104" s="107">
        <f t="shared" si="8"/>
        <v>0</v>
      </c>
      <c r="T104" s="107">
        <f t="shared" si="9"/>
        <v>0</v>
      </c>
      <c r="U104" s="107">
        <f t="shared" si="13"/>
        <v>34</v>
      </c>
      <c r="V104" s="107">
        <f t="shared" si="10"/>
        <v>0</v>
      </c>
    </row>
    <row r="105" spans="1:22" ht="57" x14ac:dyDescent="0.2">
      <c r="A105" s="4" t="str">
        <f>Questions!$A105</f>
        <v>CHNG-10</v>
      </c>
      <c r="B105" s="4" t="str">
        <f t="shared" si="11"/>
        <v>CHNG</v>
      </c>
      <c r="C105" s="4" t="str">
        <f>VLOOKUP($A105,Questions!$A$3:$L$333,2,0)&amp;""</f>
        <v>Do you have a fully implemented solution support strategy that defines how many concurrent versions you support?</v>
      </c>
      <c r="D105" s="4" t="str">
        <f>VLOOKUP($A105,Questions!$A$3:$L$333,11,0)&amp;""</f>
        <v/>
      </c>
      <c r="E105" s="4" t="str">
        <f>VLOOKUP($A105,Questions!$A$3:$L$333,12,0)&amp;""</f>
        <v>Organization</v>
      </c>
      <c r="F105" s="4" t="str">
        <f>VLOOKUP($A105,'Institution Evaluation'!$A$56:$K$345,3,0)&amp;""</f>
        <v/>
      </c>
      <c r="G105" s="4" t="str">
        <f>VLOOKUP($A105,'Institution Evaluation'!$A$56:$K$345,7,0)&amp;""</f>
        <v>Yes</v>
      </c>
      <c r="H105" s="4" t="str">
        <f>VLOOKUP($A105,'Institution Evaluation'!$A$56:$K$345,8,0)&amp;""</f>
        <v/>
      </c>
      <c r="I105" s="4" t="str">
        <f>VLOOKUP($A105,'Institution Evaluation'!$A$56:$K$345,9,0)&amp;""</f>
        <v>Minor Importance</v>
      </c>
      <c r="J105" s="4" t="str">
        <f>VLOOKUP($A105,'Institution Evaluation'!$A$56:$K$345,10,0)&amp;""</f>
        <v/>
      </c>
      <c r="K105" s="4">
        <f>IF($I105='Auto Responses'!$J$11,20,IF($I105='Auto Responses'!$J$13,5,10))</f>
        <v>5</v>
      </c>
      <c r="L105" s="107">
        <f>IF($E105='Auto Responses'!$L$13, 'Auto Responses'!$J$5,IF(AND($D105='Auto Responses'!$J$27,$H105=""),'Auto Responses'!$J$5,IF(AND($D105='Auto Responses'!$J$27,$H105='Auto Responses'!$J$7),1,IF(AND($D105='Auto Responses'!$J$27,$H105='Auto Responses'!$J$8),0,IF(OR(AND($F105=$G105,$H105=""),$H105='Auto Responses'!$J$7),1,0)))))</f>
        <v>0</v>
      </c>
      <c r="M105" s="4" t="str">
        <f>VLOOKUP($A105,'Institution Evaluation'!$A$56:$K$345,11,0)&amp;""</f>
        <v>FALSE</v>
      </c>
      <c r="N105" s="4">
        <f>IF($J105='Auto Responses'!$J$11,1,IF(AND($J105="",$I105='Auto Responses'!$J$11),1,0))</f>
        <v>0</v>
      </c>
      <c r="O105" s="107">
        <f>IF(OR($E105='Auto Responses'!$L$13,$F105='Auto Responses'!$J$5),'Auto Responses'!$J$5,IF($J105="",$K105,IF($J105='Auto Responses'!$J$13,5,IF($J105='Auto Responses'!$J$12,10,IF($J105='Auto Responses'!$J$11,20,0)))))</f>
        <v>5</v>
      </c>
      <c r="P105" s="107">
        <f>IF(OR($O105='Auto Responses'!$J$5,$L105='Auto Responses'!$J$5),'Auto Responses'!$J$5,$O105*$L105)</f>
        <v>0</v>
      </c>
      <c r="Q105" s="107">
        <f t="shared" si="7"/>
        <v>0</v>
      </c>
      <c r="R105" s="107">
        <f t="shared" si="12"/>
        <v>0</v>
      </c>
      <c r="S105" s="107">
        <f t="shared" si="8"/>
        <v>0</v>
      </c>
      <c r="T105" s="107">
        <f t="shared" si="9"/>
        <v>0</v>
      </c>
      <c r="U105" s="107">
        <f t="shared" si="13"/>
        <v>34</v>
      </c>
      <c r="V105" s="107">
        <f t="shared" si="10"/>
        <v>0</v>
      </c>
    </row>
    <row r="106" spans="1:22" ht="57" x14ac:dyDescent="0.2">
      <c r="A106" s="4" t="str">
        <f>Questions!$A106</f>
        <v>CHNG-11</v>
      </c>
      <c r="B106" s="4" t="str">
        <f t="shared" si="11"/>
        <v>CHNG</v>
      </c>
      <c r="C106" s="4" t="str">
        <f>VLOOKUP($A106,Questions!$A$3:$L$333,2,0)&amp;""</f>
        <v>Do you have a release schedule for product updates?</v>
      </c>
      <c r="D106" s="4" t="str">
        <f>VLOOKUP($A106,Questions!$A$3:$L$333,11,0)&amp;""</f>
        <v/>
      </c>
      <c r="E106" s="4" t="str">
        <f>VLOOKUP($A106,Questions!$A$3:$L$333,12,0)&amp;""</f>
        <v>Organization</v>
      </c>
      <c r="F106" s="4" t="str">
        <f>VLOOKUP($A106,'Institution Evaluation'!$A$56:$K$345,3,0)&amp;""</f>
        <v/>
      </c>
      <c r="G106" s="4" t="str">
        <f>VLOOKUP($A106,'Institution Evaluation'!$A$56:$K$345,7,0)&amp;""</f>
        <v>Yes</v>
      </c>
      <c r="H106" s="4" t="str">
        <f>VLOOKUP($A106,'Institution Evaluation'!$A$56:$K$345,8,0)&amp;""</f>
        <v/>
      </c>
      <c r="I106" s="4" t="str">
        <f>VLOOKUP($A106,'Institution Evaluation'!$A$56:$K$345,9,0)&amp;""</f>
        <v>Minor Importance</v>
      </c>
      <c r="J106" s="4" t="str">
        <f>VLOOKUP($A106,'Institution Evaluation'!$A$56:$K$345,10,0)&amp;""</f>
        <v/>
      </c>
      <c r="K106" s="4">
        <f>IF($I106='Auto Responses'!$J$11,20,IF($I106='Auto Responses'!$J$13,5,10))</f>
        <v>5</v>
      </c>
      <c r="L106" s="107">
        <f>IF($E106='Auto Responses'!$L$13, 'Auto Responses'!$J$5,IF(AND($D106='Auto Responses'!$J$27,$H106=""),'Auto Responses'!$J$5,IF(AND($D106='Auto Responses'!$J$27,$H106='Auto Responses'!$J$7),1,IF(AND($D106='Auto Responses'!$J$27,$H106='Auto Responses'!$J$8),0,IF(OR(AND($F106=$G106,$H106=""),$H106='Auto Responses'!$J$7),1,0)))))</f>
        <v>0</v>
      </c>
      <c r="M106" s="4" t="str">
        <f>VLOOKUP($A106,'Institution Evaluation'!$A$56:$K$345,11,0)&amp;""</f>
        <v>FALSE</v>
      </c>
      <c r="N106" s="4">
        <f>IF($J106='Auto Responses'!$J$11,1,IF(AND($J106="",$I106='Auto Responses'!$J$11),1,0))</f>
        <v>0</v>
      </c>
      <c r="O106" s="107">
        <f>IF(OR($E106='Auto Responses'!$L$13,$F106='Auto Responses'!$J$5),'Auto Responses'!$J$5,IF($J106="",$K106,IF($J106='Auto Responses'!$J$13,5,IF($J106='Auto Responses'!$J$12,10,IF($J106='Auto Responses'!$J$11,20,0)))))</f>
        <v>5</v>
      </c>
      <c r="P106" s="107">
        <f>IF(OR($O106='Auto Responses'!$J$5,$L106='Auto Responses'!$J$5),'Auto Responses'!$J$5,$O106*$L106)</f>
        <v>0</v>
      </c>
      <c r="Q106" s="107">
        <f t="shared" si="7"/>
        <v>0</v>
      </c>
      <c r="R106" s="107">
        <f t="shared" si="12"/>
        <v>0</v>
      </c>
      <c r="S106" s="107">
        <f t="shared" si="8"/>
        <v>0</v>
      </c>
      <c r="T106" s="107">
        <f t="shared" si="9"/>
        <v>0</v>
      </c>
      <c r="U106" s="107">
        <f t="shared" si="13"/>
        <v>34</v>
      </c>
      <c r="V106" s="107">
        <f t="shared" si="10"/>
        <v>0</v>
      </c>
    </row>
    <row r="107" spans="1:22" ht="57" x14ac:dyDescent="0.2">
      <c r="A107" s="4" t="str">
        <f>Questions!$A107</f>
        <v>CHNG-12</v>
      </c>
      <c r="B107" s="4" t="str">
        <f t="shared" si="11"/>
        <v>CHNG</v>
      </c>
      <c r="C107" s="4" t="str">
        <f>VLOOKUP($A107,Questions!$A$3:$L$333,2,0)&amp;""</f>
        <v>Do you have a technology roadmap, for at least the next two years, for enhancements and bug fixes for the solution being assessed?</v>
      </c>
      <c r="D107" s="4" t="str">
        <f>VLOOKUP($A107,Questions!$A$3:$L$333,11,0)&amp;""</f>
        <v/>
      </c>
      <c r="E107" s="4" t="str">
        <f>VLOOKUP($A107,Questions!$A$3:$L$333,12,0)&amp;""</f>
        <v>Organization</v>
      </c>
      <c r="F107" s="4" t="str">
        <f>VLOOKUP($A107,'Institution Evaluation'!$A$56:$K$345,3,0)&amp;""</f>
        <v/>
      </c>
      <c r="G107" s="4" t="str">
        <f>VLOOKUP($A107,'Institution Evaluation'!$A$56:$K$345,7,0)&amp;""</f>
        <v>Yes</v>
      </c>
      <c r="H107" s="4" t="str">
        <f>VLOOKUP($A107,'Institution Evaluation'!$A$56:$K$345,8,0)&amp;""</f>
        <v/>
      </c>
      <c r="I107" s="4" t="str">
        <f>VLOOKUP($A107,'Institution Evaluation'!$A$56:$K$345,9,0)&amp;""</f>
        <v>Minor Importance</v>
      </c>
      <c r="J107" s="4" t="str">
        <f>VLOOKUP($A107,'Institution Evaluation'!$A$56:$K$345,10,0)&amp;""</f>
        <v/>
      </c>
      <c r="K107" s="4">
        <f>IF($I107='Auto Responses'!$J$11,20,IF($I107='Auto Responses'!$J$13,5,10))</f>
        <v>5</v>
      </c>
      <c r="L107" s="107">
        <f>IF($E107='Auto Responses'!$L$13, 'Auto Responses'!$J$5,IF(AND($D107='Auto Responses'!$J$27,$H107=""),'Auto Responses'!$J$5,IF(AND($D107='Auto Responses'!$J$27,$H107='Auto Responses'!$J$7),1,IF(AND($D107='Auto Responses'!$J$27,$H107='Auto Responses'!$J$8),0,IF(OR(AND($F107=$G107,$H107=""),$H107='Auto Responses'!$J$7),1,0)))))</f>
        <v>0</v>
      </c>
      <c r="M107" s="4" t="str">
        <f>VLOOKUP($A107,'Institution Evaluation'!$A$56:$K$345,11,0)&amp;""</f>
        <v>FALSE</v>
      </c>
      <c r="N107" s="4">
        <f>IF($J107='Auto Responses'!$J$11,1,IF(AND($J107="",$I107='Auto Responses'!$J$11),1,0))</f>
        <v>0</v>
      </c>
      <c r="O107" s="107">
        <f>IF(OR($E107='Auto Responses'!$L$13,$F107='Auto Responses'!$J$5),'Auto Responses'!$J$5,IF($J107="",$K107,IF($J107='Auto Responses'!$J$13,5,IF($J107='Auto Responses'!$J$12,10,IF($J107='Auto Responses'!$J$11,20,0)))))</f>
        <v>5</v>
      </c>
      <c r="P107" s="107">
        <f>IF(OR($O107='Auto Responses'!$J$5,$L107='Auto Responses'!$J$5),'Auto Responses'!$J$5,$O107*$L107)</f>
        <v>0</v>
      </c>
      <c r="Q107" s="107">
        <f t="shared" si="7"/>
        <v>0</v>
      </c>
      <c r="R107" s="107">
        <f t="shared" si="12"/>
        <v>0</v>
      </c>
      <c r="S107" s="107">
        <f t="shared" si="8"/>
        <v>0</v>
      </c>
      <c r="T107" s="107">
        <f t="shared" si="9"/>
        <v>0</v>
      </c>
      <c r="U107" s="107">
        <f t="shared" si="13"/>
        <v>34</v>
      </c>
      <c r="V107" s="107">
        <f t="shared" si="10"/>
        <v>0</v>
      </c>
    </row>
    <row r="108" spans="1:22" ht="57" x14ac:dyDescent="0.2">
      <c r="A108" s="4" t="str">
        <f>Questions!$A108</f>
        <v>CHNG-13</v>
      </c>
      <c r="B108" s="4" t="str">
        <f t="shared" si="11"/>
        <v>CHNG</v>
      </c>
      <c r="C108" s="4" t="str">
        <f>VLOOKUP($A108,Questions!$A$3:$L$333,2,0)&amp;""</f>
        <v>Can solution updates be completed without institutional involvement (i.e., technically or organizationally)?</v>
      </c>
      <c r="D108" s="4" t="str">
        <f>VLOOKUP($A108,Questions!$A$3:$L$333,11,0)&amp;""</f>
        <v/>
      </c>
      <c r="E108" s="4" t="str">
        <f>VLOOKUP($A108,Questions!$A$3:$L$333,12,0)&amp;""</f>
        <v>Organization</v>
      </c>
      <c r="F108" s="4" t="str">
        <f>VLOOKUP($A108,'Institution Evaluation'!$A$56:$K$345,3,0)&amp;""</f>
        <v/>
      </c>
      <c r="G108" s="4" t="str">
        <f>VLOOKUP($A108,'Institution Evaluation'!$A$56:$K$345,7,0)&amp;""</f>
        <v>Yes</v>
      </c>
      <c r="H108" s="4" t="str">
        <f>VLOOKUP($A108,'Institution Evaluation'!$A$56:$K$345,8,0)&amp;""</f>
        <v/>
      </c>
      <c r="I108" s="4" t="str">
        <f>VLOOKUP($A108,'Institution Evaluation'!$A$56:$K$345,9,0)&amp;""</f>
        <v>Minor Importance</v>
      </c>
      <c r="J108" s="4" t="str">
        <f>VLOOKUP($A108,'Institution Evaluation'!$A$56:$K$345,10,0)&amp;""</f>
        <v/>
      </c>
      <c r="K108" s="4">
        <f>IF($I108='Auto Responses'!$J$11,20,IF($I108='Auto Responses'!$J$13,5,10))</f>
        <v>5</v>
      </c>
      <c r="L108" s="107">
        <f>IF($E108='Auto Responses'!$L$13, 'Auto Responses'!$J$5,IF(AND($D108='Auto Responses'!$J$27,$H108=""),'Auto Responses'!$J$5,IF(AND($D108='Auto Responses'!$J$27,$H108='Auto Responses'!$J$7),1,IF(AND($D108='Auto Responses'!$J$27,$H108='Auto Responses'!$J$8),0,IF(OR(AND($F108=$G108,$H108=""),$H108='Auto Responses'!$J$7),1,0)))))</f>
        <v>0</v>
      </c>
      <c r="M108" s="4" t="str">
        <f>VLOOKUP($A108,'Institution Evaluation'!$A$56:$K$345,11,0)&amp;""</f>
        <v>FALSE</v>
      </c>
      <c r="N108" s="4">
        <f>IF($J108='Auto Responses'!$J$11,1,IF(AND($J108="",$I108='Auto Responses'!$J$11),1,0))</f>
        <v>0</v>
      </c>
      <c r="O108" s="107">
        <f>IF(OR($E108='Auto Responses'!$L$13,$F108='Auto Responses'!$J$5),'Auto Responses'!$J$5,IF($J108="",$K108,IF($J108='Auto Responses'!$J$13,5,IF($J108='Auto Responses'!$J$12,10,IF($J108='Auto Responses'!$J$11,20,0)))))</f>
        <v>5</v>
      </c>
      <c r="P108" s="107">
        <f>IF(OR($O108='Auto Responses'!$J$5,$L108='Auto Responses'!$J$5),'Auto Responses'!$J$5,$O108*$L108)</f>
        <v>0</v>
      </c>
      <c r="Q108" s="107">
        <f t="shared" si="7"/>
        <v>0</v>
      </c>
      <c r="R108" s="107">
        <f t="shared" si="12"/>
        <v>0</v>
      </c>
      <c r="S108" s="107">
        <f t="shared" si="8"/>
        <v>0</v>
      </c>
      <c r="T108" s="107">
        <f t="shared" si="9"/>
        <v>0</v>
      </c>
      <c r="U108" s="107">
        <f t="shared" si="13"/>
        <v>34</v>
      </c>
      <c r="V108" s="107">
        <f t="shared" si="10"/>
        <v>0</v>
      </c>
    </row>
    <row r="109" spans="1:22" ht="57" x14ac:dyDescent="0.2">
      <c r="A109" s="4" t="str">
        <f>Questions!$A109</f>
        <v>CHNG-14</v>
      </c>
      <c r="B109" s="4" t="str">
        <f t="shared" si="11"/>
        <v>CHNG</v>
      </c>
      <c r="C109" s="4" t="str">
        <f>VLOOKUP($A109,Questions!$A$3:$L$333,2,0)&amp;""</f>
        <v>Are upgrades or system changes installed during off-peak hours or in a manner that does not impact the customer?</v>
      </c>
      <c r="D109" s="4" t="str">
        <f>VLOOKUP($A109,Questions!$A$3:$L$333,11,0)&amp;""</f>
        <v/>
      </c>
      <c r="E109" s="4" t="str">
        <f>VLOOKUP($A109,Questions!$A$3:$L$333,12,0)&amp;""</f>
        <v>Organization</v>
      </c>
      <c r="F109" s="4" t="str">
        <f>VLOOKUP($A109,'Institution Evaluation'!$A$56:$K$345,3,0)&amp;""</f>
        <v/>
      </c>
      <c r="G109" s="4" t="str">
        <f>VLOOKUP($A109,'Institution Evaluation'!$A$56:$K$345,7,0)&amp;""</f>
        <v>Yes</v>
      </c>
      <c r="H109" s="4" t="str">
        <f>VLOOKUP($A109,'Institution Evaluation'!$A$56:$K$345,8,0)&amp;""</f>
        <v/>
      </c>
      <c r="I109" s="4" t="str">
        <f>VLOOKUP($A109,'Institution Evaluation'!$A$56:$K$345,9,0)&amp;""</f>
        <v>Minor Importance</v>
      </c>
      <c r="J109" s="4" t="str">
        <f>VLOOKUP($A109,'Institution Evaluation'!$A$56:$K$345,10,0)&amp;""</f>
        <v/>
      </c>
      <c r="K109" s="4">
        <f>IF($I109='Auto Responses'!$J$11,20,IF($I109='Auto Responses'!$J$13,5,10))</f>
        <v>5</v>
      </c>
      <c r="L109" s="107">
        <f>IF($E109='Auto Responses'!$L$13, 'Auto Responses'!$J$5,IF(AND($D109='Auto Responses'!$J$27,$H109=""),'Auto Responses'!$J$5,IF(AND($D109='Auto Responses'!$J$27,$H109='Auto Responses'!$J$7),1,IF(AND($D109='Auto Responses'!$J$27,$H109='Auto Responses'!$J$8),0,IF(OR(AND($F109=$G109,$H109=""),$H109='Auto Responses'!$J$7),1,0)))))</f>
        <v>0</v>
      </c>
      <c r="M109" s="4" t="str">
        <f>VLOOKUP($A109,'Institution Evaluation'!$A$56:$K$345,11,0)&amp;""</f>
        <v>FALSE</v>
      </c>
      <c r="N109" s="4">
        <f>IF($J109='Auto Responses'!$J$11,1,IF(AND($J109="",$I109='Auto Responses'!$J$11),1,0))</f>
        <v>0</v>
      </c>
      <c r="O109" s="107">
        <f>IF(OR($E109='Auto Responses'!$L$13,$F109='Auto Responses'!$J$5),'Auto Responses'!$J$5,IF($J109="",$K109,IF($J109='Auto Responses'!$J$13,5,IF($J109='Auto Responses'!$J$12,10,IF($J109='Auto Responses'!$J$11,20,0)))))</f>
        <v>5</v>
      </c>
      <c r="P109" s="107">
        <f>IF(OR($O109='Auto Responses'!$J$5,$L109='Auto Responses'!$J$5),'Auto Responses'!$J$5,$O109*$L109)</f>
        <v>0</v>
      </c>
      <c r="Q109" s="107">
        <f t="shared" si="7"/>
        <v>0</v>
      </c>
      <c r="R109" s="107">
        <f t="shared" si="12"/>
        <v>0</v>
      </c>
      <c r="S109" s="107">
        <f t="shared" si="8"/>
        <v>0</v>
      </c>
      <c r="T109" s="107">
        <f t="shared" si="9"/>
        <v>0</v>
      </c>
      <c r="U109" s="107">
        <f t="shared" si="13"/>
        <v>34</v>
      </c>
      <c r="V109" s="107">
        <f t="shared" si="10"/>
        <v>0</v>
      </c>
    </row>
    <row r="110" spans="1:22" ht="57" x14ac:dyDescent="0.2">
      <c r="A110" s="4" t="str">
        <f>Questions!$A110</f>
        <v>CHNG-15</v>
      </c>
      <c r="B110" s="4" t="str">
        <f t="shared" si="11"/>
        <v>CHNG</v>
      </c>
      <c r="C110" s="4" t="str">
        <f>VLOOKUP($A110,Questions!$A$3:$L$333,2,0)&amp;""</f>
        <v>Do procedures exist to provide that emergency changes are documented and authorized (including after-the-fact approval)?</v>
      </c>
      <c r="D110" s="4" t="str">
        <f>VLOOKUP($A110,Questions!$A$3:$L$333,11,0)&amp;""</f>
        <v/>
      </c>
      <c r="E110" s="4" t="str">
        <f>VLOOKUP($A110,Questions!$A$3:$L$333,12,0)&amp;""</f>
        <v>Organization</v>
      </c>
      <c r="F110" s="4" t="str">
        <f>VLOOKUP($A110,'Institution Evaluation'!$A$56:$K$345,3,0)&amp;""</f>
        <v/>
      </c>
      <c r="G110" s="4" t="str">
        <f>VLOOKUP($A110,'Institution Evaluation'!$A$56:$K$345,7,0)&amp;""</f>
        <v>Yes</v>
      </c>
      <c r="H110" s="4" t="str">
        <f>VLOOKUP($A110,'Institution Evaluation'!$A$56:$K$345,8,0)&amp;""</f>
        <v/>
      </c>
      <c r="I110" s="4" t="str">
        <f>VLOOKUP($A110,'Institution Evaluation'!$A$56:$K$345,9,0)&amp;""</f>
        <v>Minor Importance</v>
      </c>
      <c r="J110" s="4" t="str">
        <f>VLOOKUP($A110,'Institution Evaluation'!$A$56:$K$345,10,0)&amp;""</f>
        <v/>
      </c>
      <c r="K110" s="4">
        <f>IF($I110='Auto Responses'!$J$11,20,IF($I110='Auto Responses'!$J$13,5,10))</f>
        <v>5</v>
      </c>
      <c r="L110" s="107">
        <f>IF($E110='Auto Responses'!$L$13, 'Auto Responses'!$J$5,IF(AND($D110='Auto Responses'!$J$27,$H110=""),'Auto Responses'!$J$5,IF(AND($D110='Auto Responses'!$J$27,$H110='Auto Responses'!$J$7),1,IF(AND($D110='Auto Responses'!$J$27,$H110='Auto Responses'!$J$8),0,IF(OR(AND($F110=$G110,$H110=""),$H110='Auto Responses'!$J$7),1,0)))))</f>
        <v>0</v>
      </c>
      <c r="M110" s="4" t="str">
        <f>VLOOKUP($A110,'Institution Evaluation'!$A$56:$K$345,11,0)&amp;""</f>
        <v>FALSE</v>
      </c>
      <c r="N110" s="4">
        <f>IF($J110='Auto Responses'!$J$11,1,IF(AND($J110="",$I110='Auto Responses'!$J$11),1,0))</f>
        <v>0</v>
      </c>
      <c r="O110" s="107">
        <f>IF(OR($E110='Auto Responses'!$L$13,$F110='Auto Responses'!$J$5),'Auto Responses'!$J$5,IF($J110="",$K110,IF($J110='Auto Responses'!$J$13,5,IF($J110='Auto Responses'!$J$12,10,IF($J110='Auto Responses'!$J$11,20,0)))))</f>
        <v>5</v>
      </c>
      <c r="P110" s="107">
        <f>IF(OR($O110='Auto Responses'!$J$5,$L110='Auto Responses'!$J$5),'Auto Responses'!$J$5,$O110*$L110)</f>
        <v>0</v>
      </c>
      <c r="Q110" s="107">
        <f t="shared" si="7"/>
        <v>0</v>
      </c>
      <c r="R110" s="107">
        <f t="shared" si="12"/>
        <v>0</v>
      </c>
      <c r="S110" s="107">
        <f t="shared" si="8"/>
        <v>0</v>
      </c>
      <c r="T110" s="107">
        <f t="shared" si="9"/>
        <v>0</v>
      </c>
      <c r="U110" s="107">
        <f t="shared" si="13"/>
        <v>34</v>
      </c>
      <c r="V110" s="107">
        <f t="shared" si="10"/>
        <v>0</v>
      </c>
    </row>
    <row r="111" spans="1:22" ht="57" x14ac:dyDescent="0.2">
      <c r="A111" s="4" t="str">
        <f>Questions!$A111</f>
        <v>CHNG-16</v>
      </c>
      <c r="B111" s="4" t="str">
        <f t="shared" si="11"/>
        <v>CHNG</v>
      </c>
      <c r="C111" s="4" t="str">
        <f>VLOOKUP($A111,Questions!$A$3:$L$333,2,0)&amp;""</f>
        <v>Do you have a systems management and configuration strategy that encompasses servers, appliances, cloud services, applications, and mobile devices (company and employee owned)?</v>
      </c>
      <c r="D111" s="4" t="str">
        <f>VLOOKUP($A111,Questions!$A$3:$L$333,11,0)&amp;""</f>
        <v/>
      </c>
      <c r="E111" s="4" t="str">
        <f>VLOOKUP($A111,Questions!$A$3:$L$333,12,0)&amp;""</f>
        <v>Organization</v>
      </c>
      <c r="F111" s="4" t="str">
        <f>VLOOKUP($A111,'Institution Evaluation'!$A$56:$K$345,3,0)&amp;""</f>
        <v/>
      </c>
      <c r="G111" s="4" t="str">
        <f>VLOOKUP($A111,'Institution Evaluation'!$A$56:$K$345,7,0)&amp;""</f>
        <v>Yes</v>
      </c>
      <c r="H111" s="4" t="str">
        <f>VLOOKUP($A111,'Institution Evaluation'!$A$56:$K$345,8,0)&amp;""</f>
        <v/>
      </c>
      <c r="I111" s="4" t="str">
        <f>VLOOKUP($A111,'Institution Evaluation'!$A$56:$K$345,9,0)&amp;""</f>
        <v>Minor Importance</v>
      </c>
      <c r="J111" s="4" t="str">
        <f>VLOOKUP($A111,'Institution Evaluation'!$A$56:$K$345,10,0)&amp;""</f>
        <v/>
      </c>
      <c r="K111" s="4">
        <f>IF($I111='Auto Responses'!$J$11,20,IF($I111='Auto Responses'!$J$13,5,10))</f>
        <v>5</v>
      </c>
      <c r="L111" s="107">
        <f>IF($E111='Auto Responses'!$L$13, 'Auto Responses'!$J$5,IF(AND($D111='Auto Responses'!$J$27,$H111=""),'Auto Responses'!$J$5,IF(AND($D111='Auto Responses'!$J$27,$H111='Auto Responses'!$J$7),1,IF(AND($D111='Auto Responses'!$J$27,$H111='Auto Responses'!$J$8),0,IF(OR(AND($F111=$G111,$H111=""),$H111='Auto Responses'!$J$7),1,0)))))</f>
        <v>0</v>
      </c>
      <c r="M111" s="4" t="str">
        <f>VLOOKUP($A111,'Institution Evaluation'!$A$56:$K$345,11,0)&amp;""</f>
        <v>FALSE</v>
      </c>
      <c r="N111" s="4">
        <f>IF($J111='Auto Responses'!$J$11,1,IF(AND($J111="",$I111='Auto Responses'!$J$11),1,0))</f>
        <v>0</v>
      </c>
      <c r="O111" s="107">
        <f>IF(OR($E111='Auto Responses'!$L$13,$F111='Auto Responses'!$J$5),'Auto Responses'!$J$5,IF($J111="",$K111,IF($J111='Auto Responses'!$J$13,5,IF($J111='Auto Responses'!$J$12,10,IF($J111='Auto Responses'!$J$11,20,0)))))</f>
        <v>5</v>
      </c>
      <c r="P111" s="107">
        <f>IF(OR($O111='Auto Responses'!$J$5,$L111='Auto Responses'!$J$5),'Auto Responses'!$J$5,$O111*$L111)</f>
        <v>0</v>
      </c>
      <c r="Q111" s="107">
        <f t="shared" si="7"/>
        <v>0</v>
      </c>
      <c r="R111" s="107">
        <f t="shared" si="12"/>
        <v>0</v>
      </c>
      <c r="S111" s="107">
        <f t="shared" si="8"/>
        <v>0</v>
      </c>
      <c r="T111" s="107">
        <f t="shared" si="9"/>
        <v>0</v>
      </c>
      <c r="U111" s="107">
        <f t="shared" si="13"/>
        <v>34</v>
      </c>
      <c r="V111" s="107">
        <f t="shared" si="10"/>
        <v>0</v>
      </c>
    </row>
    <row r="112" spans="1:22" ht="57" x14ac:dyDescent="0.2">
      <c r="A112" s="4" t="str">
        <f>Questions!$A112</f>
        <v>DATA-01</v>
      </c>
      <c r="B112" s="4" t="str">
        <f t="shared" si="11"/>
        <v>DATA</v>
      </c>
      <c r="C112" s="4" t="str">
        <f>VLOOKUP($A112,Questions!$A$3:$L$333,2,0)&amp;""</f>
        <v>Will the institution's data be stored on any devices (database servers, file servers, SAN, NAS, etc.) configured with non-RFC 1918/4193 (i.e., publicly routable) IP addresses?*</v>
      </c>
      <c r="D112" s="4" t="str">
        <f>VLOOKUP($A112,Questions!$A$3:$L$333,11,0)&amp;""</f>
        <v/>
      </c>
      <c r="E112" s="4" t="str">
        <f>VLOOKUP($A112,Questions!$A$3:$L$333,12,0)&amp;""</f>
        <v>Product</v>
      </c>
      <c r="F112" s="4" t="str">
        <f>VLOOKUP($A112,'Institution Evaluation'!$A$56:$K$345,3,0)&amp;""</f>
        <v/>
      </c>
      <c r="G112" s="4" t="str">
        <f>VLOOKUP($A112,'Institution Evaluation'!$A$56:$K$345,7,0)&amp;""</f>
        <v>No</v>
      </c>
      <c r="H112" s="4" t="str">
        <f>VLOOKUP($A112,'Institution Evaluation'!$A$56:$K$345,8,0)&amp;""</f>
        <v/>
      </c>
      <c r="I112" s="4" t="str">
        <f>VLOOKUP($A112,'Institution Evaluation'!$A$56:$K$345,9,0)&amp;""</f>
        <v>Critical Importance</v>
      </c>
      <c r="J112" s="4" t="str">
        <f>VLOOKUP($A112,'Institution Evaluation'!$A$56:$K$345,10,0)&amp;""</f>
        <v/>
      </c>
      <c r="K112" s="4">
        <f>IF($I112='Auto Responses'!$J$11,20,IF($I112='Auto Responses'!$J$13,5,10))</f>
        <v>20</v>
      </c>
      <c r="L112" s="107">
        <f>IF($E112='Auto Responses'!$L$13, 'Auto Responses'!$J$5,IF(AND($D112='Auto Responses'!$J$27,$H112=""),'Auto Responses'!$J$5,IF(AND($D112='Auto Responses'!$J$27,$H112='Auto Responses'!$J$7),1,IF(AND($D112='Auto Responses'!$J$27,$H112='Auto Responses'!$J$8),0,IF(OR(AND($F112=$G112,$H112=""),$H112='Auto Responses'!$J$7),1,0)))))</f>
        <v>0</v>
      </c>
      <c r="M112" s="4" t="str">
        <f>VLOOKUP($A112,'Institution Evaluation'!$A$56:$K$345,11,0)&amp;""</f>
        <v>FALSE</v>
      </c>
      <c r="N112" s="4">
        <f>IF($J112='Auto Responses'!$J$11,1,IF(AND($J112="",$I112='Auto Responses'!$J$11),1,0))</f>
        <v>1</v>
      </c>
      <c r="O112" s="107">
        <f>IF(OR($F$17='Auto Responses'!$J$4,$E112='Auto Responses'!$L$13,$F112='Auto Responses'!$J$5),'Auto Responses'!$J$5,IF($J112="",$K112,IF($J112='Auto Responses'!$J$13,5,IF($J112='Auto Responses'!$J$12,10,IF($J112='Auto Responses'!$J$11,20,0)))))</f>
        <v>20</v>
      </c>
      <c r="P112" s="107">
        <f>IF(OR($O112='Auto Responses'!$J$5,$L112='Auto Responses'!$J$5),'Auto Responses'!$J$5,$O112*$L112)</f>
        <v>0</v>
      </c>
      <c r="Q112" s="107">
        <f t="shared" si="7"/>
        <v>0</v>
      </c>
      <c r="R112" s="107">
        <f t="shared" si="12"/>
        <v>0</v>
      </c>
      <c r="S112" s="107">
        <f t="shared" si="8"/>
        <v>0</v>
      </c>
      <c r="T112" s="107">
        <f t="shared" si="9"/>
        <v>1</v>
      </c>
      <c r="U112" s="107">
        <f t="shared" si="13"/>
        <v>35</v>
      </c>
      <c r="V112" s="107">
        <f t="shared" si="10"/>
        <v>35</v>
      </c>
    </row>
    <row r="113" spans="1:22" ht="57" x14ac:dyDescent="0.2">
      <c r="A113" s="4" t="str">
        <f>Questions!$A113</f>
        <v>DATA-02</v>
      </c>
      <c r="B113" s="4" t="str">
        <f t="shared" si="11"/>
        <v>DATA</v>
      </c>
      <c r="C113" s="4" t="str">
        <f>VLOOKUP($A113,Questions!$A$3:$L$333,2,0)&amp;""</f>
        <v>Is the transport of sensitive data encrypted using security protocols/algorithms (e.g., system-to-client)?*</v>
      </c>
      <c r="D113" s="4" t="str">
        <f>VLOOKUP($A113,Questions!$A$3:$L$333,11,0)&amp;""</f>
        <v/>
      </c>
      <c r="E113" s="4" t="str">
        <f>VLOOKUP($A113,Questions!$A$3:$L$333,12,0)&amp;""</f>
        <v>Product</v>
      </c>
      <c r="F113" s="4" t="str">
        <f>VLOOKUP($A113,'Institution Evaluation'!$A$56:$K$345,3,0)&amp;""</f>
        <v/>
      </c>
      <c r="G113" s="4" t="str">
        <f>VLOOKUP($A113,'Institution Evaluation'!$A$56:$K$345,7,0)&amp;""</f>
        <v>Yes</v>
      </c>
      <c r="H113" s="4" t="str">
        <f>VLOOKUP($A113,'Institution Evaluation'!$A$56:$K$345,8,0)&amp;""</f>
        <v/>
      </c>
      <c r="I113" s="4" t="str">
        <f>VLOOKUP($A113,'Institution Evaluation'!$A$56:$K$345,9,0)&amp;""</f>
        <v>Critical Importance</v>
      </c>
      <c r="J113" s="4" t="str">
        <f>VLOOKUP($A113,'Institution Evaluation'!$A$56:$K$345,10,0)&amp;""</f>
        <v/>
      </c>
      <c r="K113" s="4">
        <f>IF($I113='Auto Responses'!$J$11,20,IF($I113='Auto Responses'!$J$13,5,10))</f>
        <v>20</v>
      </c>
      <c r="L113" s="107">
        <f>IF($E113='Auto Responses'!$L$13, 'Auto Responses'!$J$5,IF(AND($D113='Auto Responses'!$J$27,$H113=""),'Auto Responses'!$J$5,IF(AND($D113='Auto Responses'!$J$27,$H113='Auto Responses'!$J$7),1,IF(AND($D113='Auto Responses'!$J$27,$H113='Auto Responses'!$J$8),0,IF(OR(AND($F113=$G113,$H113=""),$H113='Auto Responses'!$J$7),1,0)))))</f>
        <v>0</v>
      </c>
      <c r="M113" s="4" t="str">
        <f>VLOOKUP($A113,'Institution Evaluation'!$A$56:$K$345,11,0)&amp;""</f>
        <v>FALSE</v>
      </c>
      <c r="N113" s="4">
        <f>IF($J113='Auto Responses'!$J$11,1,IF(AND($J113="",$I113='Auto Responses'!$J$11),1,0))</f>
        <v>1</v>
      </c>
      <c r="O113" s="107">
        <f>IF(OR($F$17='Auto Responses'!$J$4,$E113='Auto Responses'!$L$13,$F113='Auto Responses'!$J$5),'Auto Responses'!$J$5,IF($J113="",$K113,IF($J113='Auto Responses'!$J$13,5,IF($J113='Auto Responses'!$J$12,10,IF($J113='Auto Responses'!$J$11,20,0)))))</f>
        <v>20</v>
      </c>
      <c r="P113" s="107">
        <f>IF(OR($O113='Auto Responses'!$J$5,$L113='Auto Responses'!$J$5),'Auto Responses'!$J$5,$O113*$L113)</f>
        <v>0</v>
      </c>
      <c r="Q113" s="107">
        <f t="shared" si="7"/>
        <v>0</v>
      </c>
      <c r="R113" s="107">
        <f t="shared" si="12"/>
        <v>0</v>
      </c>
      <c r="S113" s="107">
        <f t="shared" si="8"/>
        <v>0</v>
      </c>
      <c r="T113" s="107">
        <f t="shared" si="9"/>
        <v>1</v>
      </c>
      <c r="U113" s="107">
        <f t="shared" si="13"/>
        <v>36</v>
      </c>
      <c r="V113" s="107">
        <f t="shared" si="10"/>
        <v>36</v>
      </c>
    </row>
    <row r="114" spans="1:22" ht="57" x14ac:dyDescent="0.2">
      <c r="A114" s="4" t="str">
        <f>Questions!$A114</f>
        <v>DATA-03</v>
      </c>
      <c r="B114" s="4" t="str">
        <f t="shared" si="11"/>
        <v>DATA</v>
      </c>
      <c r="C114" s="4" t="str">
        <f>VLOOKUP($A114,Questions!$A$3:$L$333,2,0)&amp;""</f>
        <v>Is the storage of sensitive data encrypted using security protocols/algorithms (e.g., disk encryption, at-rest, files, and within a running database)?*</v>
      </c>
      <c r="D114" s="4" t="str">
        <f>VLOOKUP($A114,Questions!$A$3:$L$333,11,0)&amp;""</f>
        <v/>
      </c>
      <c r="E114" s="4" t="str">
        <f>VLOOKUP($A114,Questions!$A$3:$L$333,12,0)&amp;""</f>
        <v>Product</v>
      </c>
      <c r="F114" s="4" t="str">
        <f>VLOOKUP($A114,'Institution Evaluation'!$A$56:$K$345,3,0)&amp;""</f>
        <v/>
      </c>
      <c r="G114" s="4" t="str">
        <f>VLOOKUP($A114,'Institution Evaluation'!$A$56:$K$345,7,0)&amp;""</f>
        <v>Yes</v>
      </c>
      <c r="H114" s="4" t="str">
        <f>VLOOKUP($A114,'Institution Evaluation'!$A$56:$K$345,8,0)&amp;""</f>
        <v/>
      </c>
      <c r="I114" s="4" t="str">
        <f>VLOOKUP($A114,'Institution Evaluation'!$A$56:$K$345,9,0)&amp;""</f>
        <v>Critical Importance</v>
      </c>
      <c r="J114" s="4" t="str">
        <f>VLOOKUP($A114,'Institution Evaluation'!$A$56:$K$345,10,0)&amp;""</f>
        <v/>
      </c>
      <c r="K114" s="4">
        <f>IF($I114='Auto Responses'!$J$11,20,IF($I114='Auto Responses'!$J$13,5,10))</f>
        <v>20</v>
      </c>
      <c r="L114" s="107">
        <f>IF($E114='Auto Responses'!$L$13, 'Auto Responses'!$J$5,IF(AND($D114='Auto Responses'!$J$27,$H114=""),'Auto Responses'!$J$5,IF(AND($D114='Auto Responses'!$J$27,$H114='Auto Responses'!$J$7),1,IF(AND($D114='Auto Responses'!$J$27,$H114='Auto Responses'!$J$8),0,IF(OR(AND($F114=$G114,$H114=""),$H114='Auto Responses'!$J$7),1,0)))))</f>
        <v>0</v>
      </c>
      <c r="M114" s="4" t="str">
        <f>VLOOKUP($A114,'Institution Evaluation'!$A$56:$K$345,11,0)&amp;""</f>
        <v>FALSE</v>
      </c>
      <c r="N114" s="4">
        <f>IF($J114='Auto Responses'!$J$11,1,IF(AND($J114="",$I114='Auto Responses'!$J$11),1,0))</f>
        <v>1</v>
      </c>
      <c r="O114" s="107">
        <f>IF(OR($F$17='Auto Responses'!$J$4,$E114='Auto Responses'!$L$13,$F114='Auto Responses'!$J$5),'Auto Responses'!$J$5,IF($J114="",$K114,IF($J114='Auto Responses'!$J$13,5,IF($J114='Auto Responses'!$J$12,10,IF($J114='Auto Responses'!$J$11,20,0)))))</f>
        <v>20</v>
      </c>
      <c r="P114" s="107">
        <f>IF(OR($O114='Auto Responses'!$J$5,$L114='Auto Responses'!$J$5),'Auto Responses'!$J$5,$O114*$L114)</f>
        <v>0</v>
      </c>
      <c r="Q114" s="107">
        <f t="shared" si="7"/>
        <v>0</v>
      </c>
      <c r="R114" s="107">
        <f t="shared" si="12"/>
        <v>0</v>
      </c>
      <c r="S114" s="107">
        <f t="shared" si="8"/>
        <v>0</v>
      </c>
      <c r="T114" s="107">
        <f t="shared" si="9"/>
        <v>1</v>
      </c>
      <c r="U114" s="107">
        <f t="shared" si="13"/>
        <v>37</v>
      </c>
      <c r="V114" s="107">
        <f t="shared" si="10"/>
        <v>37</v>
      </c>
    </row>
    <row r="115" spans="1:22" ht="57" x14ac:dyDescent="0.2">
      <c r="A115" s="4" t="str">
        <f>Questions!$A115</f>
        <v>DATA-04</v>
      </c>
      <c r="B115" s="4" t="str">
        <f t="shared" si="11"/>
        <v>DATA</v>
      </c>
      <c r="C115" s="4" t="str">
        <f>VLOOKUP($A115,Questions!$A$3:$L$333,2,0)&amp;""</f>
        <v>Do all cryptographic modules in use in your solution conform to the Federal Information Processing Standards (FIPS PUB 140-2 or 140-3)?*</v>
      </c>
      <c r="D115" s="4" t="str">
        <f>VLOOKUP($A115,Questions!$A$3:$L$333,11,0)&amp;""</f>
        <v/>
      </c>
      <c r="E115" s="4" t="str">
        <f>VLOOKUP($A115,Questions!$A$3:$L$333,12,0)&amp;""</f>
        <v>Product</v>
      </c>
      <c r="F115" s="4" t="str">
        <f>VLOOKUP($A115,'Institution Evaluation'!$A$56:$K$345,3,0)&amp;""</f>
        <v/>
      </c>
      <c r="G115" s="4" t="str">
        <f>VLOOKUP($A115,'Institution Evaluation'!$A$56:$K$345,7,0)&amp;""</f>
        <v>Yes</v>
      </c>
      <c r="H115" s="4" t="str">
        <f>VLOOKUP($A115,'Institution Evaluation'!$A$56:$K$345,8,0)&amp;""</f>
        <v/>
      </c>
      <c r="I115" s="4" t="str">
        <f>VLOOKUP($A115,'Institution Evaluation'!$A$56:$K$345,9,0)&amp;""</f>
        <v>Critical Importance</v>
      </c>
      <c r="J115" s="4" t="str">
        <f>VLOOKUP($A115,'Institution Evaluation'!$A$56:$K$345,10,0)&amp;""</f>
        <v/>
      </c>
      <c r="K115" s="4">
        <f>IF($I115='Auto Responses'!$J$11,20,IF($I115='Auto Responses'!$J$13,5,10))</f>
        <v>20</v>
      </c>
      <c r="L115" s="107">
        <f>IF($E115='Auto Responses'!$L$13, 'Auto Responses'!$J$5,IF(AND($D115='Auto Responses'!$J$27,$H115=""),'Auto Responses'!$J$5,IF(AND($D115='Auto Responses'!$J$27,$H115='Auto Responses'!$J$7),1,IF(AND($D115='Auto Responses'!$J$27,$H115='Auto Responses'!$J$8),0,IF(OR(AND($F115=$G115,$H115=""),$H115='Auto Responses'!$J$7),1,0)))))</f>
        <v>0</v>
      </c>
      <c r="M115" s="4" t="str">
        <f>VLOOKUP($A115,'Institution Evaluation'!$A$56:$K$345,11,0)&amp;""</f>
        <v>FALSE</v>
      </c>
      <c r="N115" s="4">
        <f>IF($J115='Auto Responses'!$J$11,1,IF(AND($J115="",$I115='Auto Responses'!$J$11),1,0))</f>
        <v>1</v>
      </c>
      <c r="O115" s="107">
        <f>IF(OR($F$17='Auto Responses'!$J$4,$E115='Auto Responses'!$L$13,$F115='Auto Responses'!$J$5),'Auto Responses'!$J$5,IF($J115="",$K115,IF($J115='Auto Responses'!$J$13,5,IF($J115='Auto Responses'!$J$12,10,IF($J115='Auto Responses'!$J$11,20,0)))))</f>
        <v>20</v>
      </c>
      <c r="P115" s="107">
        <f>IF(OR($O115='Auto Responses'!$J$5,$L115='Auto Responses'!$J$5),'Auto Responses'!$J$5,$O115*$L115)</f>
        <v>0</v>
      </c>
      <c r="Q115" s="107">
        <f t="shared" si="7"/>
        <v>0</v>
      </c>
      <c r="R115" s="107">
        <f t="shared" si="12"/>
        <v>0</v>
      </c>
      <c r="S115" s="107">
        <f t="shared" si="8"/>
        <v>0</v>
      </c>
      <c r="T115" s="107">
        <f t="shared" si="9"/>
        <v>1</v>
      </c>
      <c r="U115" s="107">
        <f t="shared" si="13"/>
        <v>38</v>
      </c>
      <c r="V115" s="107">
        <f t="shared" si="10"/>
        <v>38</v>
      </c>
    </row>
    <row r="116" spans="1:22" ht="57" x14ac:dyDescent="0.2">
      <c r="A116" s="4" t="str">
        <f>Questions!$A116</f>
        <v>DATA-05</v>
      </c>
      <c r="B116" s="4" t="str">
        <f t="shared" si="11"/>
        <v>DATA</v>
      </c>
      <c r="C116" s="4" t="str">
        <f>VLOOKUP($A116,Questions!$A$3:$L$333,2,0)&amp;""</f>
        <v>Will the institution's data be available within the system for a period of time at the completion of this contract?*</v>
      </c>
      <c r="D116" s="4" t="str">
        <f>VLOOKUP($A116,Questions!$A$3:$L$333,11,0)&amp;""</f>
        <v/>
      </c>
      <c r="E116" s="4" t="str">
        <f>VLOOKUP($A116,Questions!$A$3:$L$333,12,0)&amp;""</f>
        <v>Product</v>
      </c>
      <c r="F116" s="4" t="str">
        <f>VLOOKUP($A116,'Institution Evaluation'!$A$56:$K$345,3,0)&amp;""</f>
        <v/>
      </c>
      <c r="G116" s="4" t="str">
        <f>VLOOKUP($A116,'Institution Evaluation'!$A$56:$K$345,7,0)&amp;""</f>
        <v>Yes</v>
      </c>
      <c r="H116" s="4" t="str">
        <f>VLOOKUP($A116,'Institution Evaluation'!$A$56:$K$345,8,0)&amp;""</f>
        <v/>
      </c>
      <c r="I116" s="4" t="str">
        <f>VLOOKUP($A116,'Institution Evaluation'!$A$56:$K$345,9,0)&amp;""</f>
        <v>Critical Importance</v>
      </c>
      <c r="J116" s="4" t="str">
        <f>VLOOKUP($A116,'Institution Evaluation'!$A$56:$K$345,10,0)&amp;""</f>
        <v/>
      </c>
      <c r="K116" s="4">
        <f>IF($I116='Auto Responses'!$J$11,20,IF($I116='Auto Responses'!$J$13,5,10))</f>
        <v>20</v>
      </c>
      <c r="L116" s="107">
        <f>IF($E116='Auto Responses'!$L$13, 'Auto Responses'!$J$5,IF(AND($D116='Auto Responses'!$J$27,$H116=""),'Auto Responses'!$J$5,IF(AND($D116='Auto Responses'!$J$27,$H116='Auto Responses'!$J$7),1,IF(AND($D116='Auto Responses'!$J$27,$H116='Auto Responses'!$J$8),0,IF(OR(AND($F116=$G116,$H116=""),$H116='Auto Responses'!$J$7),1,0)))))</f>
        <v>0</v>
      </c>
      <c r="M116" s="4" t="str">
        <f>VLOOKUP($A116,'Institution Evaluation'!$A$56:$K$345,11,0)&amp;""</f>
        <v>FALSE</v>
      </c>
      <c r="N116" s="4">
        <f>IF($J116='Auto Responses'!$J$11,1,IF(AND($J116="",$I116='Auto Responses'!$J$11),1,0))</f>
        <v>1</v>
      </c>
      <c r="O116" s="107">
        <f>IF(OR($F$17='Auto Responses'!$J$4,$E116='Auto Responses'!$L$13,$F116='Auto Responses'!$J$5),'Auto Responses'!$J$5,IF($J116="",$K116,IF($J116='Auto Responses'!$J$13,5,IF($J116='Auto Responses'!$J$12,10,IF($J116='Auto Responses'!$J$11,20,0)))))</f>
        <v>20</v>
      </c>
      <c r="P116" s="107">
        <f>IF(OR($O116='Auto Responses'!$J$5,$L116='Auto Responses'!$J$5),'Auto Responses'!$J$5,$O116*$L116)</f>
        <v>0</v>
      </c>
      <c r="Q116" s="107">
        <f t="shared" si="7"/>
        <v>0</v>
      </c>
      <c r="R116" s="107">
        <f t="shared" si="12"/>
        <v>0</v>
      </c>
      <c r="S116" s="107">
        <f t="shared" si="8"/>
        <v>0</v>
      </c>
      <c r="T116" s="107">
        <f t="shared" si="9"/>
        <v>1</v>
      </c>
      <c r="U116" s="107">
        <f t="shared" si="13"/>
        <v>39</v>
      </c>
      <c r="V116" s="107">
        <f t="shared" si="10"/>
        <v>39</v>
      </c>
    </row>
    <row r="117" spans="1:22" ht="57" x14ac:dyDescent="0.2">
      <c r="A117" s="4" t="str">
        <f>Questions!$A117</f>
        <v>DATA-06</v>
      </c>
      <c r="B117" s="4" t="str">
        <f t="shared" si="11"/>
        <v>DATA</v>
      </c>
      <c r="C117" s="4" t="str">
        <f>VLOOKUP($A117,Questions!$A$3:$L$333,2,0)&amp;""</f>
        <v>Are ownership rights to all data, inputs, outputs, and metadata retained even through a provider acquisition or bankruptcy event?*</v>
      </c>
      <c r="D117" s="4" t="str">
        <f>VLOOKUP($A117,Questions!$A$3:$L$333,11,0)&amp;""</f>
        <v/>
      </c>
      <c r="E117" s="4" t="str">
        <f>VLOOKUP($A117,Questions!$A$3:$L$333,12,0)&amp;""</f>
        <v>Product</v>
      </c>
      <c r="F117" s="4" t="str">
        <f>VLOOKUP($A117,'Institution Evaluation'!$A$56:$K$345,3,0)&amp;""</f>
        <v/>
      </c>
      <c r="G117" s="4" t="str">
        <f>VLOOKUP($A117,'Institution Evaluation'!$A$56:$K$345,7,0)&amp;""</f>
        <v>Yes</v>
      </c>
      <c r="H117" s="4" t="str">
        <f>VLOOKUP($A117,'Institution Evaluation'!$A$56:$K$345,8,0)&amp;""</f>
        <v/>
      </c>
      <c r="I117" s="4" t="str">
        <f>VLOOKUP($A117,'Institution Evaluation'!$A$56:$K$345,9,0)&amp;""</f>
        <v>Critical Importance</v>
      </c>
      <c r="J117" s="4" t="str">
        <f>VLOOKUP($A117,'Institution Evaluation'!$A$56:$K$345,10,0)&amp;""</f>
        <v/>
      </c>
      <c r="K117" s="4">
        <f>IF($I117='Auto Responses'!$J$11,20,IF($I117='Auto Responses'!$J$13,5,10))</f>
        <v>20</v>
      </c>
      <c r="L117" s="107">
        <f>IF($E117='Auto Responses'!$L$13, 'Auto Responses'!$J$5,IF(AND($D117='Auto Responses'!$J$27,$H117=""),'Auto Responses'!$J$5,IF(AND($D117='Auto Responses'!$J$27,$H117='Auto Responses'!$J$7),1,IF(AND($D117='Auto Responses'!$J$27,$H117='Auto Responses'!$J$8),0,IF(OR(AND($F117=$G117,$H117=""),$H117='Auto Responses'!$J$7),1,0)))))</f>
        <v>0</v>
      </c>
      <c r="M117" s="4" t="str">
        <f>VLOOKUP($A117,'Institution Evaluation'!$A$56:$K$345,11,0)&amp;""</f>
        <v>FALSE</v>
      </c>
      <c r="N117" s="4">
        <f>IF($J117='Auto Responses'!$J$11,1,IF(AND($J117="",$I117='Auto Responses'!$J$11),1,0))</f>
        <v>1</v>
      </c>
      <c r="O117" s="107">
        <f>IF(OR($F$17='Auto Responses'!$J$4,$E117='Auto Responses'!$L$13,$F117='Auto Responses'!$J$5),'Auto Responses'!$J$5,IF($J117="",$K117,IF($J117='Auto Responses'!$J$13,5,IF($J117='Auto Responses'!$J$12,10,IF($J117='Auto Responses'!$J$11,20,0)))))</f>
        <v>20</v>
      </c>
      <c r="P117" s="107">
        <f>IF(OR($O117='Auto Responses'!$J$5,$L117='Auto Responses'!$J$5),'Auto Responses'!$J$5,$O117*$L117)</f>
        <v>0</v>
      </c>
      <c r="Q117" s="107">
        <f t="shared" si="7"/>
        <v>0</v>
      </c>
      <c r="R117" s="107">
        <f t="shared" si="12"/>
        <v>0</v>
      </c>
      <c r="S117" s="107">
        <f t="shared" si="8"/>
        <v>0</v>
      </c>
      <c r="T117" s="107">
        <f t="shared" si="9"/>
        <v>1</v>
      </c>
      <c r="U117" s="107">
        <f t="shared" si="13"/>
        <v>40</v>
      </c>
      <c r="V117" s="107">
        <f t="shared" si="10"/>
        <v>40</v>
      </c>
    </row>
    <row r="118" spans="1:22" ht="57" x14ac:dyDescent="0.2">
      <c r="A118" s="4" t="str">
        <f>Questions!$A118</f>
        <v>DATA-07</v>
      </c>
      <c r="B118" s="4" t="str">
        <f t="shared" si="11"/>
        <v>DATA</v>
      </c>
      <c r="C118" s="4" t="str">
        <f>VLOOKUP($A118,Questions!$A$3:$L$333,2,0)&amp;""</f>
        <v>Do backups containing the institution's data ever leave the institution's data zone either physically or via network routing?*</v>
      </c>
      <c r="D118" s="4" t="str">
        <f>VLOOKUP($A118,Questions!$A$3:$L$333,11,0)&amp;""</f>
        <v/>
      </c>
      <c r="E118" s="4" t="str">
        <f>VLOOKUP($A118,Questions!$A$3:$L$333,12,0)&amp;""</f>
        <v>Product</v>
      </c>
      <c r="F118" s="4" t="str">
        <f>VLOOKUP($A118,'Institution Evaluation'!$A$56:$K$345,3,0)&amp;""</f>
        <v/>
      </c>
      <c r="G118" s="4" t="str">
        <f>VLOOKUP($A118,'Institution Evaluation'!$A$56:$K$345,7,0)&amp;""</f>
        <v>No</v>
      </c>
      <c r="H118" s="4" t="str">
        <f>VLOOKUP($A118,'Institution Evaluation'!$A$56:$K$345,8,0)&amp;""</f>
        <v/>
      </c>
      <c r="I118" s="4" t="str">
        <f>VLOOKUP($A118,'Institution Evaluation'!$A$56:$K$345,9,0)&amp;""</f>
        <v>Critical Importance</v>
      </c>
      <c r="J118" s="4" t="str">
        <f>VLOOKUP($A118,'Institution Evaluation'!$A$56:$K$345,10,0)&amp;""</f>
        <v/>
      </c>
      <c r="K118" s="4">
        <f>IF($I118='Auto Responses'!$J$11,20,IF($I118='Auto Responses'!$J$13,5,10))</f>
        <v>20</v>
      </c>
      <c r="L118" s="107">
        <f>IF($E118='Auto Responses'!$L$13, 'Auto Responses'!$J$5,IF(AND($D118='Auto Responses'!$J$27,$H118=""),'Auto Responses'!$J$5,IF(AND($D118='Auto Responses'!$J$27,$H118='Auto Responses'!$J$7),1,IF(AND($D118='Auto Responses'!$J$27,$H118='Auto Responses'!$J$8),0,IF(OR(AND($F118=$G118,$H118=""),$H118='Auto Responses'!$J$7),1,0)))))</f>
        <v>0</v>
      </c>
      <c r="M118" s="4" t="str">
        <f>VLOOKUP($A118,'Institution Evaluation'!$A$56:$K$345,11,0)&amp;""</f>
        <v>FALSE</v>
      </c>
      <c r="N118" s="4">
        <f>IF($J118='Auto Responses'!$J$11,1,IF(AND($J118="",$I118='Auto Responses'!$J$11),1,0))</f>
        <v>1</v>
      </c>
      <c r="O118" s="107">
        <f>IF(OR($F$17='Auto Responses'!$J$4,$E118='Auto Responses'!$L$13,$F118='Auto Responses'!$J$5),'Auto Responses'!$J$5,IF($J118="",$K118,IF($J118='Auto Responses'!$J$13,5,IF($J118='Auto Responses'!$J$12,10,IF($J118='Auto Responses'!$J$11,20,0)))))</f>
        <v>20</v>
      </c>
      <c r="P118" s="107">
        <f>IF(OR($O118='Auto Responses'!$J$5,$L118='Auto Responses'!$J$5),'Auto Responses'!$J$5,$O118*$L118)</f>
        <v>0</v>
      </c>
      <c r="Q118" s="107">
        <f t="shared" si="7"/>
        <v>0</v>
      </c>
      <c r="R118" s="107">
        <f t="shared" si="12"/>
        <v>0</v>
      </c>
      <c r="S118" s="107">
        <f t="shared" si="8"/>
        <v>0</v>
      </c>
      <c r="T118" s="107">
        <f t="shared" si="9"/>
        <v>1</v>
      </c>
      <c r="U118" s="107">
        <f t="shared" si="13"/>
        <v>41</v>
      </c>
      <c r="V118" s="107">
        <f t="shared" si="10"/>
        <v>41</v>
      </c>
    </row>
    <row r="119" spans="1:22" ht="57" x14ac:dyDescent="0.2">
      <c r="A119" s="4" t="str">
        <f>Questions!$A119</f>
        <v>DATA-08</v>
      </c>
      <c r="B119" s="4" t="str">
        <f t="shared" si="11"/>
        <v>DATA</v>
      </c>
      <c r="C119" s="4" t="str">
        <f>VLOOKUP($A119,Questions!$A$3:$L$333,2,0)&amp;""</f>
        <v>Is media used for long-term retention of business data and archival purposes stored in a secure, environmentally protected area?*</v>
      </c>
      <c r="D119" s="4" t="str">
        <f>VLOOKUP($A119,Questions!$A$3:$L$333,11,0)&amp;""</f>
        <v/>
      </c>
      <c r="E119" s="4" t="str">
        <f>VLOOKUP($A119,Questions!$A$3:$L$333,12,0)&amp;""</f>
        <v>Product</v>
      </c>
      <c r="F119" s="4" t="str">
        <f>VLOOKUP($A119,'Institution Evaluation'!$A$56:$K$345,3,0)&amp;""</f>
        <v/>
      </c>
      <c r="G119" s="4" t="str">
        <f>VLOOKUP($A119,'Institution Evaluation'!$A$56:$K$345,7,0)&amp;""</f>
        <v>Yes</v>
      </c>
      <c r="H119" s="4" t="str">
        <f>VLOOKUP($A119,'Institution Evaluation'!$A$56:$K$345,8,0)&amp;""</f>
        <v/>
      </c>
      <c r="I119" s="4" t="str">
        <f>VLOOKUP($A119,'Institution Evaluation'!$A$56:$K$345,9,0)&amp;""</f>
        <v>Critical Importance</v>
      </c>
      <c r="J119" s="4" t="str">
        <f>VLOOKUP($A119,'Institution Evaluation'!$A$56:$K$345,10,0)&amp;""</f>
        <v/>
      </c>
      <c r="K119" s="4">
        <f>IF($I119='Auto Responses'!$J$11,20,IF($I119='Auto Responses'!$J$13,5,10))</f>
        <v>20</v>
      </c>
      <c r="L119" s="107">
        <f>IF($E119='Auto Responses'!$L$13, 'Auto Responses'!$J$5,IF(AND($D119='Auto Responses'!$J$27,$H119=""),'Auto Responses'!$J$5,IF(AND($D119='Auto Responses'!$J$27,$H119='Auto Responses'!$J$7),1,IF(AND($D119='Auto Responses'!$J$27,$H119='Auto Responses'!$J$8),0,IF(OR(AND($F119=$G119,$H119=""),$H119='Auto Responses'!$J$7),1,0)))))</f>
        <v>0</v>
      </c>
      <c r="M119" s="4" t="str">
        <f>VLOOKUP($A119,'Institution Evaluation'!$A$56:$K$345,11,0)&amp;""</f>
        <v>FALSE</v>
      </c>
      <c r="N119" s="4">
        <f>IF($J119='Auto Responses'!$J$11,1,IF(AND($J119="",$I119='Auto Responses'!$J$11),1,0))</f>
        <v>1</v>
      </c>
      <c r="O119" s="107">
        <f>IF(OR($F$17='Auto Responses'!$J$4,$E119='Auto Responses'!$L$13,$F119='Auto Responses'!$J$5),'Auto Responses'!$J$5,IF($J119="",$K119,IF($J119='Auto Responses'!$J$13,5,IF($J119='Auto Responses'!$J$12,10,IF($J119='Auto Responses'!$J$11,20,0)))))</f>
        <v>20</v>
      </c>
      <c r="P119" s="107">
        <f>IF(OR($O119='Auto Responses'!$J$5,$L119='Auto Responses'!$J$5),'Auto Responses'!$J$5,$O119*$L119)</f>
        <v>0</v>
      </c>
      <c r="Q119" s="107">
        <f t="shared" si="7"/>
        <v>0</v>
      </c>
      <c r="R119" s="107">
        <f t="shared" si="12"/>
        <v>0</v>
      </c>
      <c r="S119" s="107">
        <f t="shared" si="8"/>
        <v>0</v>
      </c>
      <c r="T119" s="107">
        <f t="shared" si="9"/>
        <v>1</v>
      </c>
      <c r="U119" s="107">
        <f t="shared" si="13"/>
        <v>42</v>
      </c>
      <c r="V119" s="107">
        <f t="shared" si="10"/>
        <v>42</v>
      </c>
    </row>
    <row r="120" spans="1:22" ht="57" x14ac:dyDescent="0.2">
      <c r="A120" s="4" t="str">
        <f>Questions!$A120</f>
        <v>DATA-09</v>
      </c>
      <c r="B120" s="4" t="str">
        <f t="shared" si="11"/>
        <v>DATA</v>
      </c>
      <c r="C120" s="4" t="str">
        <f>VLOOKUP($A120,Questions!$A$3:$L$333,2,0)&amp;""</f>
        <v>At the completion of this contract, will data be returned to the institution and/or deleted from all your systems and archives?</v>
      </c>
      <c r="D120" s="4" t="str">
        <f>VLOOKUP($A120,Questions!$A$3:$L$333,11,0)&amp;""</f>
        <v/>
      </c>
      <c r="E120" s="4" t="str">
        <f>VLOOKUP($A120,Questions!$A$3:$L$333,12,0)&amp;""</f>
        <v>Product</v>
      </c>
      <c r="F120" s="4" t="str">
        <f>VLOOKUP($A120,'Institution Evaluation'!$A$56:$K$345,3,0)&amp;""</f>
        <v/>
      </c>
      <c r="G120" s="4" t="str">
        <f>VLOOKUP($A120,'Institution Evaluation'!$A$56:$K$345,7,0)&amp;""</f>
        <v>Yes</v>
      </c>
      <c r="H120" s="4" t="str">
        <f>VLOOKUP($A120,'Institution Evaluation'!$A$56:$K$345,8,0)&amp;""</f>
        <v/>
      </c>
      <c r="I120" s="4" t="str">
        <f>VLOOKUP($A120,'Institution Evaluation'!$A$56:$K$345,9,0)&amp;""</f>
        <v>Standard Importance</v>
      </c>
      <c r="J120" s="4" t="str">
        <f>VLOOKUP($A120,'Institution Evaluation'!$A$56:$K$345,10,0)&amp;""</f>
        <v/>
      </c>
      <c r="K120" s="4">
        <f>IF($I120='Auto Responses'!$J$11,20,IF($I120='Auto Responses'!$J$13,5,10))</f>
        <v>10</v>
      </c>
      <c r="L120" s="107">
        <f>IF($E120='Auto Responses'!$L$13, 'Auto Responses'!$J$5,IF(AND($D120='Auto Responses'!$J$27,$H120=""),'Auto Responses'!$J$5,IF(AND($D120='Auto Responses'!$J$27,$H120='Auto Responses'!$J$7),1,IF(AND($D120='Auto Responses'!$J$27,$H120='Auto Responses'!$J$8),0,IF(OR(AND($F120=$G120,$H120=""),$H120='Auto Responses'!$J$7),1,0)))))</f>
        <v>0</v>
      </c>
      <c r="M120" s="4" t="str">
        <f>VLOOKUP($A120,'Institution Evaluation'!$A$56:$K$345,11,0)&amp;""</f>
        <v>FALSE</v>
      </c>
      <c r="N120" s="4">
        <f>IF($J120='Auto Responses'!$J$11,1,IF(AND($J120="",$I120='Auto Responses'!$J$11),1,0))</f>
        <v>0</v>
      </c>
      <c r="O120" s="107">
        <f>IF(OR($F$17='Auto Responses'!$J$4,$E120='Auto Responses'!$L$13,$F120='Auto Responses'!$J$5),'Auto Responses'!$J$5,IF($J120="",$K120,IF($J120='Auto Responses'!$J$13,5,IF($J120='Auto Responses'!$J$12,10,IF($J120='Auto Responses'!$J$11,20,0)))))</f>
        <v>10</v>
      </c>
      <c r="P120" s="107">
        <f>IF(OR($O120='Auto Responses'!$J$5,$L120='Auto Responses'!$J$5),'Auto Responses'!$J$5,$O120*$L120)</f>
        <v>0</v>
      </c>
      <c r="Q120" s="107">
        <f t="shared" si="7"/>
        <v>0</v>
      </c>
      <c r="R120" s="107">
        <f t="shared" si="12"/>
        <v>0</v>
      </c>
      <c r="S120" s="107">
        <f t="shared" si="8"/>
        <v>0</v>
      </c>
      <c r="T120" s="107">
        <f t="shared" si="9"/>
        <v>0</v>
      </c>
      <c r="U120" s="107">
        <f t="shared" si="13"/>
        <v>42</v>
      </c>
      <c r="V120" s="107">
        <f t="shared" si="10"/>
        <v>0</v>
      </c>
    </row>
    <row r="121" spans="1:22" ht="57" x14ac:dyDescent="0.2">
      <c r="A121" s="4" t="str">
        <f>Questions!$A121</f>
        <v>DATA-10</v>
      </c>
      <c r="B121" s="4" t="str">
        <f t="shared" si="11"/>
        <v>DATA</v>
      </c>
      <c r="C121" s="4" t="str">
        <f>VLOOKUP($A121,Questions!$A$3:$L$333,2,0)&amp;""</f>
        <v>Can the institution extract a full or partial backup of data?</v>
      </c>
      <c r="D121" s="4" t="str">
        <f>VLOOKUP($A121,Questions!$A$3:$L$333,11,0)&amp;""</f>
        <v/>
      </c>
      <c r="E121" s="4" t="str">
        <f>VLOOKUP($A121,Questions!$A$3:$L$333,12,0)&amp;""</f>
        <v>Product</v>
      </c>
      <c r="F121" s="4" t="str">
        <f>VLOOKUP($A121,'Institution Evaluation'!$A$56:$K$345,3,0)&amp;""</f>
        <v/>
      </c>
      <c r="G121" s="4" t="str">
        <f>VLOOKUP($A121,'Institution Evaluation'!$A$56:$K$345,7,0)&amp;""</f>
        <v>Yes</v>
      </c>
      <c r="H121" s="4" t="str">
        <f>VLOOKUP($A121,'Institution Evaluation'!$A$56:$K$345,8,0)&amp;""</f>
        <v/>
      </c>
      <c r="I121" s="4" t="str">
        <f>VLOOKUP($A121,'Institution Evaluation'!$A$56:$K$345,9,0)&amp;""</f>
        <v>Standard Importance</v>
      </c>
      <c r="J121" s="4" t="str">
        <f>VLOOKUP($A121,'Institution Evaluation'!$A$56:$K$345,10,0)&amp;""</f>
        <v/>
      </c>
      <c r="K121" s="4">
        <f>IF($I121='Auto Responses'!$J$11,20,IF($I121='Auto Responses'!$J$13,5,10))</f>
        <v>10</v>
      </c>
      <c r="L121" s="107">
        <f>IF($E121='Auto Responses'!$L$13, 'Auto Responses'!$J$5,IF(AND($D121='Auto Responses'!$J$27,$H121=""),'Auto Responses'!$J$5,IF(AND($D121='Auto Responses'!$J$27,$H121='Auto Responses'!$J$7),1,IF(AND($D121='Auto Responses'!$J$27,$H121='Auto Responses'!$J$8),0,IF(OR(AND($F121=$G121,$H121=""),$H121='Auto Responses'!$J$7),1,0)))))</f>
        <v>0</v>
      </c>
      <c r="M121" s="4" t="str">
        <f>VLOOKUP($A121,'Institution Evaluation'!$A$56:$K$345,11,0)&amp;""</f>
        <v>FALSE</v>
      </c>
      <c r="N121" s="4">
        <f>IF($J121='Auto Responses'!$J$11,1,IF(AND($J121="",$I121='Auto Responses'!$J$11),1,0))</f>
        <v>0</v>
      </c>
      <c r="O121" s="107">
        <f>IF(OR($F$17='Auto Responses'!$J$4,$E121='Auto Responses'!$L$13,$F121='Auto Responses'!$J$5),'Auto Responses'!$J$5,IF($J121="",$K121,IF($J121='Auto Responses'!$J$13,5,IF($J121='Auto Responses'!$J$12,10,IF($J121='Auto Responses'!$J$11,20,0)))))</f>
        <v>10</v>
      </c>
      <c r="P121" s="107">
        <f>IF(OR($O121='Auto Responses'!$J$5,$L121='Auto Responses'!$J$5),'Auto Responses'!$J$5,$O121*$L121)</f>
        <v>0</v>
      </c>
      <c r="Q121" s="107">
        <f t="shared" si="7"/>
        <v>0</v>
      </c>
      <c r="R121" s="107">
        <f t="shared" si="12"/>
        <v>0</v>
      </c>
      <c r="S121" s="107">
        <f t="shared" si="8"/>
        <v>0</v>
      </c>
      <c r="T121" s="107">
        <f t="shared" si="9"/>
        <v>0</v>
      </c>
      <c r="U121" s="107">
        <f t="shared" si="13"/>
        <v>42</v>
      </c>
      <c r="V121" s="107">
        <f t="shared" si="10"/>
        <v>0</v>
      </c>
    </row>
    <row r="122" spans="1:22" ht="57" x14ac:dyDescent="0.2">
      <c r="A122" s="4" t="str">
        <f>Questions!$A122</f>
        <v>DATA-11</v>
      </c>
      <c r="B122" s="4" t="str">
        <f t="shared" si="11"/>
        <v>DATA</v>
      </c>
      <c r="C122" s="4" t="str">
        <f>VLOOKUP($A122,Questions!$A$3:$L$333,2,0)&amp;""</f>
        <v>Do current backups include all operating system software, utilities, security software, application software, and data files necessary for recovery?</v>
      </c>
      <c r="D122" s="4" t="str">
        <f>VLOOKUP($A122,Questions!$A$3:$L$333,11,0)&amp;""</f>
        <v/>
      </c>
      <c r="E122" s="4" t="str">
        <f>VLOOKUP($A122,Questions!$A$3:$L$333,12,0)&amp;""</f>
        <v>Product</v>
      </c>
      <c r="F122" s="4" t="str">
        <f>VLOOKUP($A122,'Institution Evaluation'!$A$56:$K$345,3,0)&amp;""</f>
        <v/>
      </c>
      <c r="G122" s="4" t="str">
        <f>VLOOKUP($A122,'Institution Evaluation'!$A$56:$K$345,7,0)&amp;""</f>
        <v>Yes</v>
      </c>
      <c r="H122" s="4" t="str">
        <f>VLOOKUP($A122,'Institution Evaluation'!$A$56:$K$345,8,0)&amp;""</f>
        <v/>
      </c>
      <c r="I122" s="4" t="str">
        <f>VLOOKUP($A122,'Institution Evaluation'!$A$56:$K$345,9,0)&amp;""</f>
        <v>Standard Importance</v>
      </c>
      <c r="J122" s="4" t="str">
        <f>VLOOKUP($A122,'Institution Evaluation'!$A$56:$K$345,10,0)&amp;""</f>
        <v/>
      </c>
      <c r="K122" s="4">
        <f>IF($I122='Auto Responses'!$J$11,20,IF($I122='Auto Responses'!$J$13,5,10))</f>
        <v>10</v>
      </c>
      <c r="L122" s="107">
        <f>IF($E122='Auto Responses'!$L$13, 'Auto Responses'!$J$5,IF(AND($D122='Auto Responses'!$J$27,$H122=""),'Auto Responses'!$J$5,IF(AND($D122='Auto Responses'!$J$27,$H122='Auto Responses'!$J$7),1,IF(AND($D122='Auto Responses'!$J$27,$H122='Auto Responses'!$J$8),0,IF(OR(AND($F122=$G122,$H122=""),$H122='Auto Responses'!$J$7),1,0)))))</f>
        <v>0</v>
      </c>
      <c r="M122" s="4" t="str">
        <f>VLOOKUP($A122,'Institution Evaluation'!$A$56:$K$345,11,0)&amp;""</f>
        <v>FALSE</v>
      </c>
      <c r="N122" s="4">
        <f>IF($J122='Auto Responses'!$J$11,1,IF(AND($J122="",$I122='Auto Responses'!$J$11),1,0))</f>
        <v>0</v>
      </c>
      <c r="O122" s="107">
        <f>IF(OR($F$17='Auto Responses'!$J$4,$E122='Auto Responses'!$L$13,$F122='Auto Responses'!$J$5),'Auto Responses'!$J$5,IF($J122="",$K122,IF($J122='Auto Responses'!$J$13,5,IF($J122='Auto Responses'!$J$12,10,IF($J122='Auto Responses'!$J$11,20,0)))))</f>
        <v>10</v>
      </c>
      <c r="P122" s="107">
        <f>IF(OR($O122='Auto Responses'!$J$5,$L122='Auto Responses'!$J$5),'Auto Responses'!$J$5,$O122*$L122)</f>
        <v>0</v>
      </c>
      <c r="Q122" s="107">
        <f t="shared" si="7"/>
        <v>0</v>
      </c>
      <c r="R122" s="107">
        <f t="shared" si="12"/>
        <v>0</v>
      </c>
      <c r="S122" s="107">
        <f t="shared" si="8"/>
        <v>0</v>
      </c>
      <c r="T122" s="107">
        <f t="shared" si="9"/>
        <v>0</v>
      </c>
      <c r="U122" s="107">
        <f t="shared" si="13"/>
        <v>42</v>
      </c>
      <c r="V122" s="107">
        <f t="shared" si="10"/>
        <v>0</v>
      </c>
    </row>
    <row r="123" spans="1:22" ht="57" x14ac:dyDescent="0.2">
      <c r="A123" s="4" t="str">
        <f>Questions!$A123</f>
        <v>DATA-12</v>
      </c>
      <c r="B123" s="4" t="str">
        <f t="shared" si="11"/>
        <v>DATA</v>
      </c>
      <c r="C123" s="4" t="str">
        <f>VLOOKUP($A123,Questions!$A$3:$L$333,2,0)&amp;""</f>
        <v>Are you performing off-site backups (i.e., digitally moved off site)?</v>
      </c>
      <c r="D123" s="4" t="str">
        <f>VLOOKUP($A123,Questions!$A$3:$L$333,11,0)&amp;""</f>
        <v/>
      </c>
      <c r="E123" s="4" t="str">
        <f>VLOOKUP($A123,Questions!$A$3:$L$333,12,0)&amp;""</f>
        <v>Product</v>
      </c>
      <c r="F123" s="4" t="str">
        <f>VLOOKUP($A123,'Institution Evaluation'!$A$56:$K$345,3,0)&amp;""</f>
        <v/>
      </c>
      <c r="G123" s="4" t="str">
        <f>VLOOKUP($A123,'Institution Evaluation'!$A$56:$K$345,7,0)&amp;""</f>
        <v>Yes</v>
      </c>
      <c r="H123" s="4" t="str">
        <f>VLOOKUP($A123,'Institution Evaluation'!$A$56:$K$345,8,0)&amp;""</f>
        <v/>
      </c>
      <c r="I123" s="4" t="str">
        <f>VLOOKUP($A123,'Institution Evaluation'!$A$56:$K$345,9,0)&amp;""</f>
        <v>Standard Importance</v>
      </c>
      <c r="J123" s="4" t="str">
        <f>VLOOKUP($A123,'Institution Evaluation'!$A$56:$K$345,10,0)&amp;""</f>
        <v/>
      </c>
      <c r="K123" s="4">
        <f>IF($I123='Auto Responses'!$J$11,20,IF($I123='Auto Responses'!$J$13,5,10))</f>
        <v>10</v>
      </c>
      <c r="L123" s="107">
        <f>IF($E123='Auto Responses'!$L$13, 'Auto Responses'!$J$5,IF(AND($D123='Auto Responses'!$J$27,$H123=""),'Auto Responses'!$J$5,IF(AND($D123='Auto Responses'!$J$27,$H123='Auto Responses'!$J$7),1,IF(AND($D123='Auto Responses'!$J$27,$H123='Auto Responses'!$J$8),0,IF(OR(AND($F123=$G123,$H123=""),$H123='Auto Responses'!$J$7),1,0)))))</f>
        <v>0</v>
      </c>
      <c r="M123" s="4" t="str">
        <f>VLOOKUP($A123,'Institution Evaluation'!$A$56:$K$345,11,0)&amp;""</f>
        <v>FALSE</v>
      </c>
      <c r="N123" s="4">
        <f>IF($J123='Auto Responses'!$J$11,1,IF(AND($J123="",$I123='Auto Responses'!$J$11),1,0))</f>
        <v>0</v>
      </c>
      <c r="O123" s="107">
        <f>IF(OR($F$17='Auto Responses'!$J$4,$E123='Auto Responses'!$L$13,$F123='Auto Responses'!$J$5),'Auto Responses'!$J$5,IF($J123="",$K123,IF($J123='Auto Responses'!$J$13,5,IF($J123='Auto Responses'!$J$12,10,IF($J123='Auto Responses'!$J$11,20,0)))))</f>
        <v>10</v>
      </c>
      <c r="P123" s="107">
        <f>IF(OR($O123='Auto Responses'!$J$5,$L123='Auto Responses'!$J$5),'Auto Responses'!$J$5,$O123*$L123)</f>
        <v>0</v>
      </c>
      <c r="Q123" s="107">
        <f t="shared" si="7"/>
        <v>0</v>
      </c>
      <c r="R123" s="107">
        <f t="shared" si="12"/>
        <v>0</v>
      </c>
      <c r="S123" s="107">
        <f t="shared" si="8"/>
        <v>0</v>
      </c>
      <c r="T123" s="107">
        <f t="shared" si="9"/>
        <v>0</v>
      </c>
      <c r="U123" s="107">
        <f t="shared" si="13"/>
        <v>42</v>
      </c>
      <c r="V123" s="107">
        <f t="shared" si="10"/>
        <v>0</v>
      </c>
    </row>
    <row r="124" spans="1:22" ht="57" x14ac:dyDescent="0.2">
      <c r="A124" s="4" t="str">
        <f>Questions!$A124</f>
        <v>DATA-13</v>
      </c>
      <c r="B124" s="4" t="str">
        <f t="shared" si="11"/>
        <v>DATA</v>
      </c>
      <c r="C124" s="4" t="str">
        <f>VLOOKUP($A124,Questions!$A$3:$L$333,2,0)&amp;""</f>
        <v>Are physical backups taken off-site (i.e., physically moved off site)?</v>
      </c>
      <c r="D124" s="4" t="str">
        <f>VLOOKUP($A124,Questions!$A$3:$L$333,11,0)&amp;""</f>
        <v/>
      </c>
      <c r="E124" s="4" t="str">
        <f>VLOOKUP($A124,Questions!$A$3:$L$333,12,0)&amp;""</f>
        <v>Product</v>
      </c>
      <c r="F124" s="4" t="str">
        <f>VLOOKUP($A124,'Institution Evaluation'!$A$56:$K$345,3,0)&amp;""</f>
        <v/>
      </c>
      <c r="G124" s="4" t="str">
        <f>VLOOKUP($A124,'Institution Evaluation'!$A$56:$K$345,7,0)&amp;""</f>
        <v>Yes</v>
      </c>
      <c r="H124" s="4" t="str">
        <f>VLOOKUP($A124,'Institution Evaluation'!$A$56:$K$345,8,0)&amp;""</f>
        <v/>
      </c>
      <c r="I124" s="4" t="str">
        <f>VLOOKUP($A124,'Institution Evaluation'!$A$56:$K$345,9,0)&amp;""</f>
        <v>Standard Importance</v>
      </c>
      <c r="J124" s="4" t="str">
        <f>VLOOKUP($A124,'Institution Evaluation'!$A$56:$K$345,10,0)&amp;""</f>
        <v/>
      </c>
      <c r="K124" s="4">
        <f>IF($I124='Auto Responses'!$J$11,20,IF($I124='Auto Responses'!$J$13,5,10))</f>
        <v>10</v>
      </c>
      <c r="L124" s="107">
        <f>IF($E124='Auto Responses'!$L$13, 'Auto Responses'!$J$5,IF(AND($D124='Auto Responses'!$J$27,$H124=""),'Auto Responses'!$J$5,IF(AND($D124='Auto Responses'!$J$27,$H124='Auto Responses'!$J$7),1,IF(AND($D124='Auto Responses'!$J$27,$H124='Auto Responses'!$J$8),0,IF(OR(AND($F124=$G124,$H124=""),$H124='Auto Responses'!$J$7),1,0)))))</f>
        <v>0</v>
      </c>
      <c r="M124" s="4" t="str">
        <f>VLOOKUP($A124,'Institution Evaluation'!$A$56:$K$345,11,0)&amp;""</f>
        <v>FALSE</v>
      </c>
      <c r="N124" s="4">
        <f>IF($J124='Auto Responses'!$J$11,1,IF(AND($J124="",$I124='Auto Responses'!$J$11),1,0))</f>
        <v>0</v>
      </c>
      <c r="O124" s="107">
        <f>IF(OR($F$17='Auto Responses'!$J$4,$E124='Auto Responses'!$L$13,$F124='Auto Responses'!$J$5),'Auto Responses'!$J$5,IF($J124="",$K124,IF($J124='Auto Responses'!$J$13,5,IF($J124='Auto Responses'!$J$12,10,IF($J124='Auto Responses'!$J$11,20,0)))))</f>
        <v>10</v>
      </c>
      <c r="P124" s="107">
        <f>IF(OR($O124='Auto Responses'!$J$5,$L124='Auto Responses'!$J$5),'Auto Responses'!$J$5,$O124*$L124)</f>
        <v>0</v>
      </c>
      <c r="Q124" s="107">
        <f t="shared" si="7"/>
        <v>0</v>
      </c>
      <c r="R124" s="107">
        <f t="shared" si="12"/>
        <v>0</v>
      </c>
      <c r="S124" s="107">
        <f t="shared" si="8"/>
        <v>0</v>
      </c>
      <c r="T124" s="107">
        <f t="shared" si="9"/>
        <v>0</v>
      </c>
      <c r="U124" s="107">
        <f t="shared" si="13"/>
        <v>42</v>
      </c>
      <c r="V124" s="107">
        <f t="shared" si="10"/>
        <v>0</v>
      </c>
    </row>
    <row r="125" spans="1:22" ht="71.25" x14ac:dyDescent="0.2">
      <c r="A125" s="4" t="str">
        <f>Questions!$A126</f>
        <v>DATA-15</v>
      </c>
      <c r="B125" s="4" t="str">
        <f t="shared" si="11"/>
        <v>DATA</v>
      </c>
      <c r="C125" s="4" t="str">
        <f>VLOOKUP($A125,Questions!$A$3:$L$333,2,0)&amp;""</f>
        <v>Do you have a media handling process that is documented and currently implemented that meets established business needs and regulatory requirements, including end-of-life, repurposing, and data-sanitization procedures?</v>
      </c>
      <c r="D125" s="4" t="str">
        <f>VLOOKUP($A125,Questions!$A$3:$L$333,11,0)&amp;""</f>
        <v/>
      </c>
      <c r="E125" s="4" t="str">
        <f>VLOOKUP($A125,Questions!$A$3:$L$333,12,0)&amp;""</f>
        <v>Product</v>
      </c>
      <c r="F125" s="4" t="str">
        <f>VLOOKUP($A125,'Institution Evaluation'!$A$56:$K$345,3,0)&amp;""</f>
        <v/>
      </c>
      <c r="G125" s="4" t="str">
        <f>VLOOKUP($A125,'Institution Evaluation'!$A$56:$K$345,7,0)&amp;""</f>
        <v>Yes</v>
      </c>
      <c r="H125" s="4" t="str">
        <f>VLOOKUP($A125,'Institution Evaluation'!$A$56:$K$345,8,0)&amp;""</f>
        <v/>
      </c>
      <c r="I125" s="4" t="str">
        <f>VLOOKUP($A125,'Institution Evaluation'!$A$56:$K$345,9,0)&amp;""</f>
        <v>Standard Importance</v>
      </c>
      <c r="J125" s="4" t="str">
        <f>VLOOKUP($A125,'Institution Evaluation'!$A$56:$K$345,10,0)&amp;""</f>
        <v/>
      </c>
      <c r="K125" s="4">
        <f>IF($I125='Auto Responses'!$J$11,20,IF($I125='Auto Responses'!$J$13,5,10))</f>
        <v>10</v>
      </c>
      <c r="L125" s="107">
        <f>IF($E125='Auto Responses'!$L$13, 'Auto Responses'!$J$5,IF(AND($D125='Auto Responses'!$J$27,$H125=""),'Auto Responses'!$J$5,IF(AND($D125='Auto Responses'!$J$27,$H125='Auto Responses'!$J$7),1,IF(AND($D125='Auto Responses'!$J$27,$H125='Auto Responses'!$J$8),0,IF(OR(AND($F125=$G125,$H125=""),$H125='Auto Responses'!$J$7),1,0)))))</f>
        <v>0</v>
      </c>
      <c r="M125" s="4" t="str">
        <f>VLOOKUP($A125,'Institution Evaluation'!$A$56:$K$345,11,0)&amp;""</f>
        <v>FALSE</v>
      </c>
      <c r="N125" s="4">
        <f>IF($J125='Auto Responses'!$J$11,1,IF(AND($J125="",$I125='Auto Responses'!$J$11),1,0))</f>
        <v>0</v>
      </c>
      <c r="O125" s="107">
        <f>IF(OR($F$17='Auto Responses'!$J$4,$E125='Auto Responses'!$L$13,$F125='Auto Responses'!$J$5),'Auto Responses'!$J$5,IF($J125="",$K125,IF($J125='Auto Responses'!$J$13,5,IF($J125='Auto Responses'!$J$12,10,IF($J125='Auto Responses'!$J$11,20,0)))))</f>
        <v>10</v>
      </c>
      <c r="P125" s="107">
        <f>IF(OR($O125='Auto Responses'!$J$5,$L125='Auto Responses'!$J$5),'Auto Responses'!$J$5,$O125*$L125)</f>
        <v>0</v>
      </c>
      <c r="Q125" s="107">
        <f t="shared" si="7"/>
        <v>0</v>
      </c>
      <c r="R125" s="107">
        <f t="shared" si="12"/>
        <v>0</v>
      </c>
      <c r="S125" s="107">
        <f t="shared" si="8"/>
        <v>0</v>
      </c>
      <c r="T125" s="107">
        <f t="shared" si="9"/>
        <v>0</v>
      </c>
      <c r="U125" s="107">
        <f t="shared" si="13"/>
        <v>42</v>
      </c>
      <c r="V125" s="107">
        <f t="shared" si="10"/>
        <v>0</v>
      </c>
    </row>
    <row r="126" spans="1:22" ht="57" x14ac:dyDescent="0.2">
      <c r="A126" s="4" t="str">
        <f>Questions!$A127</f>
        <v>DATA-16</v>
      </c>
      <c r="B126" s="4" t="str">
        <f t="shared" si="11"/>
        <v>DATA</v>
      </c>
      <c r="C126" s="4" t="str">
        <f>VLOOKUP($A126,Questions!$A$3:$L$333,2,0)&amp;""</f>
        <v>Does the process described in DATA-15 adhere to DoD 5220.22-M and/or NIST SP 800-88 standards?</v>
      </c>
      <c r="D126" s="4" t="str">
        <f>VLOOKUP($A126,Questions!$A$3:$L$333,11,0)&amp;""</f>
        <v/>
      </c>
      <c r="E126" s="4" t="str">
        <f>VLOOKUP($A126,Questions!$A$3:$L$333,12,0)&amp;""</f>
        <v>Product</v>
      </c>
      <c r="F126" s="4" t="str">
        <f>VLOOKUP($A126,'Institution Evaluation'!$A$56:$K$345,3,0)&amp;""</f>
        <v/>
      </c>
      <c r="G126" s="4" t="str">
        <f>VLOOKUP($A126,'Institution Evaluation'!$A$56:$K$345,7,0)&amp;""</f>
        <v>Yes</v>
      </c>
      <c r="H126" s="4" t="str">
        <f>VLOOKUP($A126,'Institution Evaluation'!$A$56:$K$345,8,0)&amp;""</f>
        <v/>
      </c>
      <c r="I126" s="4" t="str">
        <f>VLOOKUP($A126,'Institution Evaluation'!$A$56:$K$345,9,0)&amp;""</f>
        <v>Standard Importance</v>
      </c>
      <c r="J126" s="4" t="str">
        <f>VLOOKUP($A126,'Institution Evaluation'!$A$56:$K$345,10,0)&amp;""</f>
        <v/>
      </c>
      <c r="K126" s="4">
        <f>IF($I126='Auto Responses'!$J$11,20,IF($I126='Auto Responses'!$J$13,5,10))</f>
        <v>10</v>
      </c>
      <c r="L126" s="107">
        <f>IF($E126='Auto Responses'!$L$13, 'Auto Responses'!$J$5,IF(AND($D126='Auto Responses'!$J$27,$H126=""),'Auto Responses'!$J$5,IF(AND($D126='Auto Responses'!$J$27,$H126='Auto Responses'!$J$7),1,IF(AND($D126='Auto Responses'!$J$27,$H126='Auto Responses'!$J$8),0,IF(OR(AND($F126=$G126,$H126=""),$H126='Auto Responses'!$J$7),1,0)))))</f>
        <v>0</v>
      </c>
      <c r="M126" s="4" t="str">
        <f>VLOOKUP($A126,'Institution Evaluation'!$A$56:$K$345,11,0)&amp;""</f>
        <v>FALSE</v>
      </c>
      <c r="N126" s="4">
        <f>IF($J126='Auto Responses'!$J$11,1,IF(AND($J126="",$I126='Auto Responses'!$J$11),1,0))</f>
        <v>0</v>
      </c>
      <c r="O126" s="107">
        <f>IF(OR($F$17='Auto Responses'!$J$4,$E126='Auto Responses'!$L$13,$F126='Auto Responses'!$J$5),'Auto Responses'!$J$5,IF($J126="",$K126,IF($J126='Auto Responses'!$J$13,5,IF($J126='Auto Responses'!$J$12,10,IF($J126='Auto Responses'!$J$11,20,0)))))</f>
        <v>10</v>
      </c>
      <c r="P126" s="107">
        <f>IF(OR($O126='Auto Responses'!$J$5,$L126='Auto Responses'!$J$5),'Auto Responses'!$J$5,$O126*$L126)</f>
        <v>0</v>
      </c>
      <c r="Q126" s="107">
        <f t="shared" si="7"/>
        <v>0</v>
      </c>
      <c r="R126" s="107">
        <f t="shared" si="12"/>
        <v>0</v>
      </c>
      <c r="S126" s="107">
        <f t="shared" si="8"/>
        <v>0</v>
      </c>
      <c r="T126" s="107">
        <f t="shared" si="9"/>
        <v>0</v>
      </c>
      <c r="U126" s="107">
        <f t="shared" si="13"/>
        <v>42</v>
      </c>
      <c r="V126" s="107">
        <f t="shared" si="10"/>
        <v>0</v>
      </c>
    </row>
    <row r="127" spans="1:22" ht="57" x14ac:dyDescent="0.2">
      <c r="A127" s="4" t="str">
        <f>Questions!$A128</f>
        <v>DATA-17</v>
      </c>
      <c r="B127" s="4" t="str">
        <f t="shared" si="11"/>
        <v>DATA</v>
      </c>
      <c r="C127" s="4" t="str">
        <f>VLOOKUP($A127,Questions!$A$3:$L$333,2,0)&amp;""</f>
        <v>Does your staff (or third party) have access to institutional data (e.g., financial, PHI, or other sensitive information) through any means?</v>
      </c>
      <c r="D127" s="4" t="str">
        <f>VLOOKUP($A127,Questions!$A$3:$L$333,11,0)&amp;""</f>
        <v/>
      </c>
      <c r="E127" s="4" t="str">
        <f>VLOOKUP($A127,Questions!$A$3:$L$333,12,0)&amp;""</f>
        <v>Product</v>
      </c>
      <c r="F127" s="4" t="str">
        <f>VLOOKUP($A127,'Institution Evaluation'!$A$56:$K$345,3,0)&amp;""</f>
        <v/>
      </c>
      <c r="G127" s="4" t="str">
        <f>VLOOKUP($A127,'Institution Evaluation'!$A$56:$K$345,7,0)&amp;""</f>
        <v>No</v>
      </c>
      <c r="H127" s="4" t="str">
        <f>VLOOKUP($A127,'Institution Evaluation'!$A$56:$K$345,8,0)&amp;""</f>
        <v/>
      </c>
      <c r="I127" s="4" t="str">
        <f>VLOOKUP($A127,'Institution Evaluation'!$A$56:$K$345,9,0)&amp;""</f>
        <v>Standard Importance</v>
      </c>
      <c r="J127" s="4" t="str">
        <f>VLOOKUP($A127,'Institution Evaluation'!$A$56:$K$345,10,0)&amp;""</f>
        <v/>
      </c>
      <c r="K127" s="4">
        <f>IF($I127='Auto Responses'!$J$11,20,IF($I127='Auto Responses'!$J$13,5,10))</f>
        <v>10</v>
      </c>
      <c r="L127" s="107">
        <f>IF($E127='Auto Responses'!$L$13, 'Auto Responses'!$J$5,IF(AND($D127='Auto Responses'!$J$27,$H127=""),'Auto Responses'!$J$5,IF(AND($D127='Auto Responses'!$J$27,$H127='Auto Responses'!$J$7),1,IF(AND($D127='Auto Responses'!$J$27,$H127='Auto Responses'!$J$8),0,IF(OR(AND($F127=$G127,$H127=""),$H127='Auto Responses'!$J$7),1,0)))))</f>
        <v>0</v>
      </c>
      <c r="M127" s="4" t="str">
        <f>VLOOKUP($A127,'Institution Evaluation'!$A$56:$K$345,11,0)&amp;""</f>
        <v>FALSE</v>
      </c>
      <c r="N127" s="4">
        <f>IF($J127='Auto Responses'!$J$11,1,IF(AND($J127="",$I127='Auto Responses'!$J$11),1,0))</f>
        <v>0</v>
      </c>
      <c r="O127" s="107">
        <f>IF(OR($F$17='Auto Responses'!$J$4,$E127='Auto Responses'!$L$13,$F127='Auto Responses'!$J$5),'Auto Responses'!$J$5,IF($J127="",$K127,IF($J127='Auto Responses'!$J$13,5,IF($J127='Auto Responses'!$J$12,10,IF($J127='Auto Responses'!$J$11,20,0)))))</f>
        <v>10</v>
      </c>
      <c r="P127" s="107">
        <f>IF(OR($O127='Auto Responses'!$J$5,$L127='Auto Responses'!$J$5),'Auto Responses'!$J$5,$O127*$L127)</f>
        <v>0</v>
      </c>
      <c r="Q127" s="107">
        <f t="shared" si="7"/>
        <v>0</v>
      </c>
      <c r="R127" s="107">
        <f t="shared" si="12"/>
        <v>0</v>
      </c>
      <c r="S127" s="107">
        <f t="shared" si="8"/>
        <v>0</v>
      </c>
      <c r="T127" s="107">
        <f t="shared" si="9"/>
        <v>0</v>
      </c>
      <c r="U127" s="107">
        <f t="shared" si="13"/>
        <v>42</v>
      </c>
      <c r="V127" s="107">
        <f t="shared" si="10"/>
        <v>0</v>
      </c>
    </row>
    <row r="128" spans="1:22" ht="57" x14ac:dyDescent="0.2">
      <c r="A128" s="4" t="str">
        <f>Questions!$A129</f>
        <v>DATA-18</v>
      </c>
      <c r="B128" s="4" t="str">
        <f t="shared" si="11"/>
        <v>DATA</v>
      </c>
      <c r="C128" s="4" t="str">
        <f>VLOOKUP($A128,Questions!$A$3:$L$333,2,0)&amp;""</f>
        <v>Do you have a documented and currently implemented strategy for securing employee workstations when they work remotely (i.e., not in a trusted computing environment)?</v>
      </c>
      <c r="D128" s="4" t="str">
        <f>VLOOKUP($A128,Questions!$A$3:$L$333,11,0)&amp;""</f>
        <v/>
      </c>
      <c r="E128" s="4" t="str">
        <f>VLOOKUP($A128,Questions!$A$3:$L$333,12,0)&amp;""</f>
        <v>Product</v>
      </c>
      <c r="F128" s="4" t="str">
        <f>VLOOKUP($A128,'Institution Evaluation'!$A$56:$K$345,3,0)&amp;""</f>
        <v/>
      </c>
      <c r="G128" s="4" t="str">
        <f>VLOOKUP($A128,'Institution Evaluation'!$A$56:$K$345,7,0)&amp;""</f>
        <v>Yes</v>
      </c>
      <c r="H128" s="4" t="str">
        <f>VLOOKUP($A128,'Institution Evaluation'!$A$56:$K$345,8,0)&amp;""</f>
        <v/>
      </c>
      <c r="I128" s="4" t="str">
        <f>VLOOKUP($A128,'Institution Evaluation'!$A$56:$K$345,9,0)&amp;""</f>
        <v>Standard Importance</v>
      </c>
      <c r="J128" s="4" t="str">
        <f>VLOOKUP($A128,'Institution Evaluation'!$A$56:$K$345,10,0)&amp;""</f>
        <v/>
      </c>
      <c r="K128" s="4">
        <f>IF($I128='Auto Responses'!$J$11,20,IF($I128='Auto Responses'!$J$13,5,10))</f>
        <v>10</v>
      </c>
      <c r="L128" s="107">
        <f>IF($E128='Auto Responses'!$L$13, 'Auto Responses'!$J$5,IF(AND($D128='Auto Responses'!$J$27,$H128=""),'Auto Responses'!$J$5,IF(AND($D128='Auto Responses'!$J$27,$H128='Auto Responses'!$J$7),1,IF(AND($D128='Auto Responses'!$J$27,$H128='Auto Responses'!$J$8),0,IF(OR(AND($F128=$G128,$H128=""),$H128='Auto Responses'!$J$7),1,0)))))</f>
        <v>0</v>
      </c>
      <c r="M128" s="4" t="str">
        <f>VLOOKUP($A128,'Institution Evaluation'!$A$56:$K$345,11,0)&amp;""</f>
        <v>FALSE</v>
      </c>
      <c r="N128" s="4">
        <f>IF($J128='Auto Responses'!$J$11,1,IF(AND($J128="",$I128='Auto Responses'!$J$11),1,0))</f>
        <v>0</v>
      </c>
      <c r="O128" s="107">
        <f>IF(OR($F$17='Auto Responses'!$J$4,$E128='Auto Responses'!$L$13,$F128='Auto Responses'!$J$5),'Auto Responses'!$J$5,IF($J128="",$K128,IF($J128='Auto Responses'!$J$13,5,IF($J128='Auto Responses'!$J$12,10,IF($J128='Auto Responses'!$J$11,20,0)))))</f>
        <v>10</v>
      </c>
      <c r="P128" s="107">
        <f>IF(OR($O128='Auto Responses'!$J$5,$L128='Auto Responses'!$J$5),'Auto Responses'!$J$5,$O128*$L128)</f>
        <v>0</v>
      </c>
      <c r="Q128" s="107">
        <f t="shared" si="7"/>
        <v>0</v>
      </c>
      <c r="R128" s="107">
        <f t="shared" si="12"/>
        <v>0</v>
      </c>
      <c r="S128" s="107">
        <f t="shared" si="8"/>
        <v>0</v>
      </c>
      <c r="T128" s="107">
        <f t="shared" si="9"/>
        <v>0</v>
      </c>
      <c r="U128" s="107">
        <f t="shared" si="13"/>
        <v>42</v>
      </c>
      <c r="V128" s="107">
        <f t="shared" si="10"/>
        <v>0</v>
      </c>
    </row>
    <row r="129" spans="1:22" ht="71.25" x14ac:dyDescent="0.2">
      <c r="A129" s="4" t="str">
        <f>Questions!$A130</f>
        <v>DATA-19</v>
      </c>
      <c r="B129" s="4" t="str">
        <f t="shared" si="11"/>
        <v>DATA</v>
      </c>
      <c r="C129" s="4" t="str">
        <f>VLOOKUP($A129,Questions!$A$3:$L$333,2,0)&amp;""</f>
        <v>Does the environment provide for dedicated single-tenant capabilities? If not, describe how your solution or environment separates data from different customers (e.g., logically, physically, single tenancy, multi-tenancy).</v>
      </c>
      <c r="D129" s="4" t="str">
        <f>VLOOKUP($A129,Questions!$A$3:$L$333,11,0)&amp;""</f>
        <v/>
      </c>
      <c r="E129" s="4" t="str">
        <f>VLOOKUP($A129,Questions!$A$3:$L$333,12,0)&amp;""</f>
        <v>Product</v>
      </c>
      <c r="F129" s="4" t="str">
        <f>VLOOKUP($A129,'Institution Evaluation'!$A$56:$K$345,3,0)&amp;""</f>
        <v/>
      </c>
      <c r="G129" s="4" t="str">
        <f>VLOOKUP($A129,'Institution Evaluation'!$A$56:$K$345,7,0)&amp;""</f>
        <v>Yes</v>
      </c>
      <c r="H129" s="4" t="str">
        <f>VLOOKUP($A129,'Institution Evaluation'!$A$56:$K$345,8,0)&amp;""</f>
        <v/>
      </c>
      <c r="I129" s="4" t="str">
        <f>VLOOKUP($A129,'Institution Evaluation'!$A$56:$K$345,9,0)&amp;""</f>
        <v>Minor Importance</v>
      </c>
      <c r="J129" s="4" t="str">
        <f>VLOOKUP($A129,'Institution Evaluation'!$A$56:$K$345,10,0)&amp;""</f>
        <v/>
      </c>
      <c r="K129" s="4">
        <f>IF($I129='Auto Responses'!$J$11,20,IF($I129='Auto Responses'!$J$13,5,10))</f>
        <v>5</v>
      </c>
      <c r="L129" s="107">
        <f>IF($E129='Auto Responses'!$L$13, 'Auto Responses'!$J$5,IF(AND($D129='Auto Responses'!$J$27,$H129=""),'Auto Responses'!$J$5,IF(AND($D129='Auto Responses'!$J$27,$H129='Auto Responses'!$J$7),1,IF(AND($D129='Auto Responses'!$J$27,$H129='Auto Responses'!$J$8),0,IF(OR(AND($F129=$G129,$H129=""),$H129='Auto Responses'!$J$7),1,0)))))</f>
        <v>0</v>
      </c>
      <c r="M129" s="4" t="str">
        <f>VLOOKUP($A129,'Institution Evaluation'!$A$56:$K$345,11,0)&amp;""</f>
        <v>FALSE</v>
      </c>
      <c r="N129" s="4">
        <f>IF($J129='Auto Responses'!$J$11,1,IF(AND($J129="",$I129='Auto Responses'!$J$11),1,0))</f>
        <v>0</v>
      </c>
      <c r="O129" s="107">
        <f>IF(OR($F$17='Auto Responses'!$J$4,$E129='Auto Responses'!$L$13,$F129='Auto Responses'!$J$5),'Auto Responses'!$J$5,IF($J129="",$K129,IF($J129='Auto Responses'!$J$13,5,IF($J129='Auto Responses'!$J$12,10,IF($J129='Auto Responses'!$J$11,20,0)))))</f>
        <v>5</v>
      </c>
      <c r="P129" s="107">
        <f>IF(OR($O129='Auto Responses'!$J$5,$L129='Auto Responses'!$J$5),'Auto Responses'!$J$5,$O129*$L129)</f>
        <v>0</v>
      </c>
      <c r="Q129" s="107">
        <f t="shared" si="7"/>
        <v>0</v>
      </c>
      <c r="R129" s="107">
        <f t="shared" si="12"/>
        <v>0</v>
      </c>
      <c r="S129" s="107">
        <f t="shared" si="8"/>
        <v>0</v>
      </c>
      <c r="T129" s="107">
        <f t="shared" si="9"/>
        <v>0</v>
      </c>
      <c r="U129" s="107">
        <f t="shared" si="13"/>
        <v>42</v>
      </c>
      <c r="V129" s="107">
        <f t="shared" si="10"/>
        <v>0</v>
      </c>
    </row>
    <row r="130" spans="1:22" ht="57" x14ac:dyDescent="0.2">
      <c r="A130" s="4" t="str">
        <f>Questions!$A131</f>
        <v>DATA-20</v>
      </c>
      <c r="B130" s="4" t="str">
        <f t="shared" si="11"/>
        <v>DATA</v>
      </c>
      <c r="C130" s="4" t="str">
        <f>VLOOKUP($A130,Questions!$A$3:$L$333,2,0)&amp;""</f>
        <v>Are ownership rights to all data, inputs, outputs, and metadata retained by the institution?</v>
      </c>
      <c r="D130" s="4" t="str">
        <f>VLOOKUP($A130,Questions!$A$3:$L$333,11,0)&amp;""</f>
        <v/>
      </c>
      <c r="E130" s="4" t="str">
        <f>VLOOKUP($A130,Questions!$A$3:$L$333,12,0)&amp;""</f>
        <v>Product</v>
      </c>
      <c r="F130" s="4" t="str">
        <f>VLOOKUP($A130,'Institution Evaluation'!$A$56:$K$345,3,0)&amp;""</f>
        <v/>
      </c>
      <c r="G130" s="4" t="str">
        <f>VLOOKUP($A130,'Institution Evaluation'!$A$56:$K$345,7,0)&amp;""</f>
        <v>Yes</v>
      </c>
      <c r="H130" s="4" t="str">
        <f>VLOOKUP($A130,'Institution Evaluation'!$A$56:$K$345,8,0)&amp;""</f>
        <v/>
      </c>
      <c r="I130" s="4" t="str">
        <f>VLOOKUP($A130,'Institution Evaluation'!$A$56:$K$345,9,0)&amp;""</f>
        <v>Minor Importance</v>
      </c>
      <c r="J130" s="4" t="str">
        <f>VLOOKUP($A130,'Institution Evaluation'!$A$56:$K$345,10,0)&amp;""</f>
        <v/>
      </c>
      <c r="K130" s="4">
        <f>IF($I130='Auto Responses'!$J$11,20,IF($I130='Auto Responses'!$J$13,5,10))</f>
        <v>5</v>
      </c>
      <c r="L130" s="107">
        <f>IF($E130='Auto Responses'!$L$13, 'Auto Responses'!$J$5,IF(AND($D130='Auto Responses'!$J$27,$H130=""),'Auto Responses'!$J$5,IF(AND($D130='Auto Responses'!$J$27,$H130='Auto Responses'!$J$7),1,IF(AND($D130='Auto Responses'!$J$27,$H130='Auto Responses'!$J$8),0,IF(OR(AND($F130=$G130,$H130=""),$H130='Auto Responses'!$J$7),1,0)))))</f>
        <v>0</v>
      </c>
      <c r="M130" s="4" t="str">
        <f>VLOOKUP($A130,'Institution Evaluation'!$A$56:$K$345,11,0)&amp;""</f>
        <v>FALSE</v>
      </c>
      <c r="N130" s="4">
        <f>IF($J130='Auto Responses'!$J$11,1,IF(AND($J130="",$I130='Auto Responses'!$J$11),1,0))</f>
        <v>0</v>
      </c>
      <c r="O130" s="107">
        <f>IF(OR($F$17='Auto Responses'!$J$4,$E130='Auto Responses'!$L$13,$F130='Auto Responses'!$J$5),'Auto Responses'!$J$5,IF($J130="",$K130,IF($J130='Auto Responses'!$J$13,5,IF($J130='Auto Responses'!$J$12,10,IF($J130='Auto Responses'!$J$11,20,0)))))</f>
        <v>5</v>
      </c>
      <c r="P130" s="107">
        <f>IF(OR($O130='Auto Responses'!$J$5,$L130='Auto Responses'!$J$5),'Auto Responses'!$J$5,$O130*$L130)</f>
        <v>0</v>
      </c>
      <c r="Q130" s="107">
        <f t="shared" ref="Q130:Q189" si="14">IF(M130="TRUE",1,0)</f>
        <v>0</v>
      </c>
      <c r="R130" s="107">
        <f t="shared" si="12"/>
        <v>0</v>
      </c>
      <c r="S130" s="107">
        <f t="shared" ref="S130:S189" si="15">IF(Q130=0,0,R130)</f>
        <v>0</v>
      </c>
      <c r="T130" s="107">
        <f t="shared" ref="T130:T189" si="16">IF(N130=1,1,0)</f>
        <v>0</v>
      </c>
      <c r="U130" s="107">
        <f t="shared" si="13"/>
        <v>42</v>
      </c>
      <c r="V130" s="107">
        <f t="shared" ref="V130:V189" si="17">IF(T130=0,0,U130)</f>
        <v>0</v>
      </c>
    </row>
    <row r="131" spans="1:22" ht="57" x14ac:dyDescent="0.2">
      <c r="A131" s="4" t="str">
        <f>Questions!$A132</f>
        <v>DATA-21</v>
      </c>
      <c r="B131" s="4" t="str">
        <f t="shared" ref="B131:B190" si="18">LEFT(A131,4)</f>
        <v>DATA</v>
      </c>
      <c r="C131" s="4" t="str">
        <f>VLOOKUP($A131,Questions!$A$3:$L$333,2,0)&amp;""</f>
        <v>In the event of imminent bankruptcy, closing of business, or retirement of service, will you provide 90 days for customers to get their data out of the system and migrate applications?</v>
      </c>
      <c r="D131" s="4" t="str">
        <f>VLOOKUP($A131,Questions!$A$3:$L$333,11,0)&amp;""</f>
        <v/>
      </c>
      <c r="E131" s="4" t="str">
        <f>VLOOKUP($A131,Questions!$A$3:$L$333,12,0)&amp;""</f>
        <v>Product</v>
      </c>
      <c r="F131" s="4" t="str">
        <f>VLOOKUP($A131,'Institution Evaluation'!$A$56:$K$345,3,0)&amp;""</f>
        <v/>
      </c>
      <c r="G131" s="4" t="str">
        <f>VLOOKUP($A131,'Institution Evaluation'!$A$56:$K$345,7,0)&amp;""</f>
        <v>Yes</v>
      </c>
      <c r="H131" s="4" t="str">
        <f>VLOOKUP($A131,'Institution Evaluation'!$A$56:$K$345,8,0)&amp;""</f>
        <v/>
      </c>
      <c r="I131" s="4" t="str">
        <f>VLOOKUP($A131,'Institution Evaluation'!$A$56:$K$345,9,0)&amp;""</f>
        <v>Minor Importance</v>
      </c>
      <c r="J131" s="4" t="str">
        <f>VLOOKUP($A131,'Institution Evaluation'!$A$56:$K$345,10,0)&amp;""</f>
        <v/>
      </c>
      <c r="K131" s="4">
        <f>IF($I131='Auto Responses'!$J$11,20,IF($I131='Auto Responses'!$J$13,5,10))</f>
        <v>5</v>
      </c>
      <c r="L131" s="107">
        <f>IF($E131='Auto Responses'!$L$13, 'Auto Responses'!$J$5,IF(AND($D131='Auto Responses'!$J$27,$H131=""),'Auto Responses'!$J$5,IF(AND($D131='Auto Responses'!$J$27,$H131='Auto Responses'!$J$7),1,IF(AND($D131='Auto Responses'!$J$27,$H131='Auto Responses'!$J$8),0,IF(OR(AND($F131=$G131,$H131=""),$H131='Auto Responses'!$J$7),1,0)))))</f>
        <v>0</v>
      </c>
      <c r="M131" s="4" t="str">
        <f>VLOOKUP($A131,'Institution Evaluation'!$A$56:$K$345,11,0)&amp;""</f>
        <v>FALSE</v>
      </c>
      <c r="N131" s="4">
        <f>IF($J131='Auto Responses'!$J$11,1,IF(AND($J131="",$I131='Auto Responses'!$J$11),1,0))</f>
        <v>0</v>
      </c>
      <c r="O131" s="107">
        <f>IF(OR($F$17='Auto Responses'!$J$4,$E131='Auto Responses'!$L$13,$F131='Auto Responses'!$J$5),'Auto Responses'!$J$5,IF($J131="",$K131,IF($J131='Auto Responses'!$J$13,5,IF($J131='Auto Responses'!$J$12,10,IF($J131='Auto Responses'!$J$11,20,0)))))</f>
        <v>5</v>
      </c>
      <c r="P131" s="107">
        <f>IF(OR($O131='Auto Responses'!$J$5,$L131='Auto Responses'!$J$5),'Auto Responses'!$J$5,$O131*$L131)</f>
        <v>0</v>
      </c>
      <c r="Q131" s="107">
        <f t="shared" si="14"/>
        <v>0</v>
      </c>
      <c r="R131" s="107">
        <f t="shared" si="12"/>
        <v>0</v>
      </c>
      <c r="S131" s="107">
        <f t="shared" si="15"/>
        <v>0</v>
      </c>
      <c r="T131" s="107">
        <f t="shared" si="16"/>
        <v>0</v>
      </c>
      <c r="U131" s="107">
        <f t="shared" si="13"/>
        <v>42</v>
      </c>
      <c r="V131" s="107">
        <f t="shared" si="17"/>
        <v>0</v>
      </c>
    </row>
    <row r="132" spans="1:22" ht="57" x14ac:dyDescent="0.2">
      <c r="A132" s="4" t="str">
        <f>Questions!$A133</f>
        <v>DATA-22</v>
      </c>
      <c r="B132" s="4" t="str">
        <f t="shared" si="18"/>
        <v>DATA</v>
      </c>
      <c r="C132" s="4" t="str">
        <f>VLOOKUP($A132,Questions!$A$3:$L$333,2,0)&amp;""</f>
        <v>Are involatile backup copies made according to predefined schedules and securely stored and protected?</v>
      </c>
      <c r="D132" s="4" t="str">
        <f>VLOOKUP($A132,Questions!$A$3:$L$333,11,0)&amp;""</f>
        <v/>
      </c>
      <c r="E132" s="4" t="str">
        <f>VLOOKUP($A132,Questions!$A$3:$L$333,12,0)&amp;""</f>
        <v>Product</v>
      </c>
      <c r="F132" s="4" t="str">
        <f>VLOOKUP($A132,'Institution Evaluation'!$A$56:$K$345,3,0)&amp;""</f>
        <v/>
      </c>
      <c r="G132" s="4" t="str">
        <f>VLOOKUP($A132,'Institution Evaluation'!$A$56:$K$345,7,0)&amp;""</f>
        <v>Yes</v>
      </c>
      <c r="H132" s="4" t="str">
        <f>VLOOKUP($A132,'Institution Evaluation'!$A$56:$K$345,8,0)&amp;""</f>
        <v/>
      </c>
      <c r="I132" s="4" t="str">
        <f>VLOOKUP($A132,'Institution Evaluation'!$A$56:$K$345,9,0)&amp;""</f>
        <v>Minor Importance</v>
      </c>
      <c r="J132" s="4" t="str">
        <f>VLOOKUP($A132,'Institution Evaluation'!$A$56:$K$345,10,0)&amp;""</f>
        <v/>
      </c>
      <c r="K132" s="4">
        <f>IF($I132='Auto Responses'!$J$11,20,IF($I132='Auto Responses'!$J$13,5,10))</f>
        <v>5</v>
      </c>
      <c r="L132" s="107">
        <f>IF($E132='Auto Responses'!$L$13, 'Auto Responses'!$J$5,IF(AND($D132='Auto Responses'!$J$27,$H132=""),'Auto Responses'!$J$5,IF(AND($D132='Auto Responses'!$J$27,$H132='Auto Responses'!$J$7),1,IF(AND($D132='Auto Responses'!$J$27,$H132='Auto Responses'!$J$8),0,IF(OR(AND($F132=$G132,$H132=""),$H132='Auto Responses'!$J$7),1,0)))))</f>
        <v>0</v>
      </c>
      <c r="M132" s="4" t="str">
        <f>VLOOKUP($A132,'Institution Evaluation'!$A$56:$K$345,11,0)&amp;""</f>
        <v>FALSE</v>
      </c>
      <c r="N132" s="4">
        <f>IF($J132='Auto Responses'!$J$11,1,IF(AND($J132="",$I132='Auto Responses'!$J$11),1,0))</f>
        <v>0</v>
      </c>
      <c r="O132" s="107">
        <f>IF(OR($F$17='Auto Responses'!$J$4,$E132='Auto Responses'!$L$13,$F132='Auto Responses'!$J$5),'Auto Responses'!$J$5,IF($J132="",$K132,IF($J132='Auto Responses'!$J$13,5,IF($J132='Auto Responses'!$J$12,10,IF($J132='Auto Responses'!$J$11,20,0)))))</f>
        <v>5</v>
      </c>
      <c r="P132" s="107">
        <f>IF(OR($O132='Auto Responses'!$J$5,$L132='Auto Responses'!$J$5),'Auto Responses'!$J$5,$O132*$L132)</f>
        <v>0</v>
      </c>
      <c r="Q132" s="107">
        <f t="shared" si="14"/>
        <v>0</v>
      </c>
      <c r="R132" s="107">
        <f t="shared" si="12"/>
        <v>0</v>
      </c>
      <c r="S132" s="107">
        <f t="shared" si="15"/>
        <v>0</v>
      </c>
      <c r="T132" s="107">
        <f t="shared" si="16"/>
        <v>0</v>
      </c>
      <c r="U132" s="107">
        <f t="shared" si="13"/>
        <v>42</v>
      </c>
      <c r="V132" s="107">
        <f t="shared" si="17"/>
        <v>0</v>
      </c>
    </row>
    <row r="133" spans="1:22" ht="57" x14ac:dyDescent="0.2">
      <c r="A133" s="4" t="str">
        <f>Questions!$A125</f>
        <v>DATA-14</v>
      </c>
      <c r="B133" s="4" t="str">
        <f t="shared" si="18"/>
        <v>DATA</v>
      </c>
      <c r="C133" s="4" t="str">
        <f>VLOOKUP($A133,Questions!$A$3:$L$333,2,0)&amp;""</f>
        <v>Are data backups encrypted?</v>
      </c>
      <c r="D133" s="4" t="str">
        <f>VLOOKUP($A133,Questions!$A$3:$L$333,11,0)&amp;""</f>
        <v/>
      </c>
      <c r="E133" s="4" t="str">
        <f>VLOOKUP($A133,Questions!$A$3:$L$333,12,0)&amp;""</f>
        <v>Product</v>
      </c>
      <c r="F133" s="4" t="str">
        <f>VLOOKUP($A133,'Institution Evaluation'!$A$56:$K$345,3,0)&amp;""</f>
        <v/>
      </c>
      <c r="G133" s="4" t="str">
        <f>VLOOKUP($A133,'Institution Evaluation'!$A$56:$K$345,7,0)&amp;""</f>
        <v>Yes</v>
      </c>
      <c r="H133" s="4" t="str">
        <f>VLOOKUP($A133,'Institution Evaluation'!$A$56:$K$345,8,0)&amp;""</f>
        <v/>
      </c>
      <c r="I133" s="4" t="str">
        <f>VLOOKUP($A133,'Institution Evaluation'!$A$56:$K$345,9,0)&amp;""</f>
        <v>Minor Importance</v>
      </c>
      <c r="J133" s="4" t="str">
        <f>VLOOKUP($A133,'Institution Evaluation'!$A$56:$K$345,10,0)&amp;""</f>
        <v/>
      </c>
      <c r="K133" s="4">
        <f>IF($I133='Auto Responses'!$J$11,20,IF($I133='Auto Responses'!$J$13,5,10))</f>
        <v>5</v>
      </c>
      <c r="L133" s="107">
        <f>IF($E133='Auto Responses'!$L$13, 'Auto Responses'!$J$5,IF(AND($D133='Auto Responses'!$J$27,$H133=""),'Auto Responses'!$J$5,IF(AND($D133='Auto Responses'!$J$27,$H133='Auto Responses'!$J$7),1,IF(AND($D133='Auto Responses'!$J$27,$H133='Auto Responses'!$J$8),0,IF(OR(AND($F133=$G133,$H133=""),$H133='Auto Responses'!$J$7),1,0)))))</f>
        <v>0</v>
      </c>
      <c r="M133" s="4" t="str">
        <f>VLOOKUP($A133,'Institution Evaluation'!$A$56:$K$345,11,0)&amp;""</f>
        <v>FALSE</v>
      </c>
      <c r="N133" s="4">
        <f>IF($J133='Auto Responses'!$J$11,1,IF(AND($J133="",$I133='Auto Responses'!$J$11),1,0))</f>
        <v>0</v>
      </c>
      <c r="O133" s="107">
        <f>IF(OR($F$17='Auto Responses'!$J$4,$E133='Auto Responses'!$L$13,$F133='Auto Responses'!$J$5),'Auto Responses'!$J$5,IF($J133="",$K133,IF($J133='Auto Responses'!$J$13,5,IF($J133='Auto Responses'!$J$12,10,IF($J133='Auto Responses'!$J$11,20,0)))))</f>
        <v>5</v>
      </c>
      <c r="P133" s="107">
        <f>IF(OR($O133='Auto Responses'!$J$5,$L133='Auto Responses'!$J$5),'Auto Responses'!$J$5,$O133*$L133)</f>
        <v>0</v>
      </c>
      <c r="Q133" s="107">
        <f t="shared" si="14"/>
        <v>0</v>
      </c>
      <c r="R133" s="107">
        <f t="shared" ref="R133:R196" si="19">R132+Q133</f>
        <v>0</v>
      </c>
      <c r="S133" s="107">
        <f t="shared" si="15"/>
        <v>0</v>
      </c>
      <c r="T133" s="107">
        <f t="shared" si="16"/>
        <v>0</v>
      </c>
      <c r="U133" s="107">
        <f t="shared" ref="U133:U196" si="20">U132+T133</f>
        <v>42</v>
      </c>
      <c r="V133" s="107">
        <f t="shared" si="17"/>
        <v>0</v>
      </c>
    </row>
    <row r="134" spans="1:22" ht="71.25" x14ac:dyDescent="0.2">
      <c r="A134" s="4" t="str">
        <f>Questions!$A134</f>
        <v>DATA-23</v>
      </c>
      <c r="B134" s="4" t="str">
        <f t="shared" si="18"/>
        <v>DATA</v>
      </c>
      <c r="C134" s="4" t="str">
        <f>VLOOKUP($A134,Questions!$A$3:$L$333,2,0)&amp;""</f>
        <v>Do you have a cryptographic key management process (generation, exchange, storage, safeguards, use, vetting, and replacement) that is documented and currently implemented, for all system components (e.g., database, system, web, etc.)?</v>
      </c>
      <c r="D134" s="4" t="str">
        <f>VLOOKUP($A134,Questions!$A$3:$L$333,11,0)&amp;""</f>
        <v/>
      </c>
      <c r="E134" s="4" t="str">
        <f>VLOOKUP($A134,Questions!$A$3:$L$333,12,0)&amp;""</f>
        <v>Product</v>
      </c>
      <c r="F134" s="4" t="str">
        <f>VLOOKUP($A134,'Institution Evaluation'!$A$56:$K$345,3,0)&amp;""</f>
        <v/>
      </c>
      <c r="G134" s="4" t="str">
        <f>VLOOKUP($A134,'Institution Evaluation'!$A$56:$K$345,7,0)&amp;""</f>
        <v>Yes</v>
      </c>
      <c r="H134" s="4" t="str">
        <f>VLOOKUP($A134,'Institution Evaluation'!$A$56:$K$345,8,0)&amp;""</f>
        <v/>
      </c>
      <c r="I134" s="4" t="str">
        <f>VLOOKUP($A134,'Institution Evaluation'!$A$56:$K$345,9,0)&amp;""</f>
        <v>Minor Importance</v>
      </c>
      <c r="J134" s="4" t="str">
        <f>VLOOKUP($A134,'Institution Evaluation'!$A$56:$K$345,10,0)&amp;""</f>
        <v/>
      </c>
      <c r="K134" s="4">
        <f>IF($I134='Auto Responses'!$J$11,20,IF($I134='Auto Responses'!$J$13,5,10))</f>
        <v>5</v>
      </c>
      <c r="L134" s="107">
        <f>IF($E134='Auto Responses'!$L$13, 'Auto Responses'!$J$5,IF(AND($D134='Auto Responses'!$J$27,$H134=""),'Auto Responses'!$J$5,IF(AND($D134='Auto Responses'!$J$27,$H134='Auto Responses'!$J$7),1,IF(AND($D134='Auto Responses'!$J$27,$H134='Auto Responses'!$J$8),0,IF(OR(AND($F134=$G134,$H134=""),$H134='Auto Responses'!$J$7),1,0)))))</f>
        <v>0</v>
      </c>
      <c r="M134" s="4" t="str">
        <f>VLOOKUP($A134,'Institution Evaluation'!$A$56:$K$345,11,0)&amp;""</f>
        <v>FALSE</v>
      </c>
      <c r="N134" s="4">
        <f>IF($J134='Auto Responses'!$J$11,1,IF(AND($J134="",$I134='Auto Responses'!$J$11),1,0))</f>
        <v>0</v>
      </c>
      <c r="O134" s="107">
        <f>IF(OR($F$17='Auto Responses'!$J$4,$E134='Auto Responses'!$L$13,$F134='Auto Responses'!$J$5),'Auto Responses'!$J$5,IF($J134="",$K134,IF($J134='Auto Responses'!$J$13,5,IF($J134='Auto Responses'!$J$12,10,IF($J134='Auto Responses'!$J$11,20,0)))))</f>
        <v>5</v>
      </c>
      <c r="P134" s="107">
        <f>IF(OR($O134='Auto Responses'!$J$5,$L134='Auto Responses'!$J$5),'Auto Responses'!$J$5,$O134*$L134)</f>
        <v>0</v>
      </c>
      <c r="Q134" s="107">
        <f t="shared" si="14"/>
        <v>0</v>
      </c>
      <c r="R134" s="107">
        <f t="shared" si="19"/>
        <v>0</v>
      </c>
      <c r="S134" s="107">
        <f t="shared" si="15"/>
        <v>0</v>
      </c>
      <c r="T134" s="107">
        <f t="shared" si="16"/>
        <v>0</v>
      </c>
      <c r="U134" s="107">
        <f t="shared" si="20"/>
        <v>42</v>
      </c>
      <c r="V134" s="107">
        <f t="shared" si="17"/>
        <v>0</v>
      </c>
    </row>
    <row r="135" spans="1:22" ht="57" x14ac:dyDescent="0.2">
      <c r="A135" s="4" t="str">
        <f>Questions!$A135</f>
        <v>DCTR-01</v>
      </c>
      <c r="B135" s="4" t="str">
        <f t="shared" si="18"/>
        <v>DCTR</v>
      </c>
      <c r="C135" s="4" t="str">
        <f>VLOOKUP($A135,Questions!$A$3:$L$333,2,0)&amp;""</f>
        <v>Select your hosting option.</v>
      </c>
      <c r="D135" s="4" t="str">
        <f>VLOOKUP($A135,Questions!$A$3:$L$333,11,0)&amp;""</f>
        <v/>
      </c>
      <c r="E135" s="4" t="str">
        <f>VLOOKUP($A135,Questions!$A$3:$L$333,12,0)&amp;""</f>
        <v>Not scored</v>
      </c>
      <c r="F135" s="4" t="str">
        <f>VLOOKUP($A135,'Institution Evaluation'!$A$56:$K$345,3,0)&amp;""</f>
        <v/>
      </c>
      <c r="G135" s="4" t="str">
        <f>VLOOKUP($A135,'Institution Evaluation'!$A$56:$K$345,7,0)&amp;""</f>
        <v>Not scored</v>
      </c>
      <c r="H135" s="4" t="str">
        <f>VLOOKUP($A135,'Institution Evaluation'!$A$56:$K$345,8,0)&amp;""</f>
        <v/>
      </c>
      <c r="I135" s="4" t="str">
        <f>VLOOKUP($A135,'Institution Evaluation'!$A$56:$K$345,9,0)&amp;""</f>
        <v/>
      </c>
      <c r="J135" s="4" t="str">
        <f>VLOOKUP($A135,'Institution Evaluation'!$A$56:$K$345,10,0)&amp;""</f>
        <v/>
      </c>
      <c r="K135" s="4">
        <f>IF($I135='Auto Responses'!$J$11,20,IF($I135='Auto Responses'!$J$13,5,10))</f>
        <v>10</v>
      </c>
      <c r="L135" s="107" t="str">
        <f>IF(OR($E135='Auto Responses'!$L$13,$F135=""),'Auto Responses'!$J$5,IF(AND($D135='Auto Responses'!$J$27,$H135=""),'Auto Responses'!$J$5,IF(AND($D135='Auto Responses'!$J$27,$H135='Auto Responses'!$J$7),1,IF(AND($D135='Auto Responses'!$J$27,$H135='Auto Responses'!$J$8),0,IF(OR(AND($F135=$G135,$H135=""),$H135='Auto Responses'!$J$7),1,0)))))</f>
        <v>N/A</v>
      </c>
      <c r="M135" s="4" t="str">
        <f>VLOOKUP($A135,'Institution Evaluation'!$A$56:$K$345,11,0)&amp;""</f>
        <v>FALSE</v>
      </c>
      <c r="N135" s="4">
        <f>IF($J135='Auto Responses'!$J$11,1,IF(AND($J135="",$I135='Auto Responses'!$J$11),1,0))</f>
        <v>0</v>
      </c>
      <c r="O135" s="107" t="str">
        <f>IF(OR($F$17='Auto Responses'!$J$4,$E135='Auto Responses'!$L$13,$F135="",$F135='Auto Responses'!$J$5),'Auto Responses'!$J$5,IF($J135="",$K135,IF($J135='Auto Responses'!$J$13,5,IF($J135='Auto Responses'!$J$12,10,IF($J135='Auto Responses'!$J$11,20,0)))))</f>
        <v>N/A</v>
      </c>
      <c r="P135" s="107" t="str">
        <f>IF(OR($O135='Auto Responses'!$J$5,$L135='Auto Responses'!$J$5),'Auto Responses'!$J$5,$O135*$L135)</f>
        <v>N/A</v>
      </c>
      <c r="Q135" s="107">
        <f t="shared" si="14"/>
        <v>0</v>
      </c>
      <c r="R135" s="107">
        <f t="shared" si="19"/>
        <v>0</v>
      </c>
      <c r="S135" s="107">
        <f t="shared" si="15"/>
        <v>0</v>
      </c>
      <c r="T135" s="107">
        <f t="shared" si="16"/>
        <v>0</v>
      </c>
      <c r="U135" s="107">
        <f t="shared" si="20"/>
        <v>42</v>
      </c>
      <c r="V135" s="107">
        <f t="shared" si="17"/>
        <v>0</v>
      </c>
    </row>
    <row r="136" spans="1:22" ht="57" x14ac:dyDescent="0.2">
      <c r="A136" s="4" t="str">
        <f>Questions!$A136</f>
        <v>DCTR-02</v>
      </c>
      <c r="B136" s="4" t="str">
        <f t="shared" si="18"/>
        <v>DCTR</v>
      </c>
      <c r="C136" s="4" t="str">
        <f>VLOOKUP($A136,Questions!$A$3:$L$333,2,0)&amp;""</f>
        <v>Is a SOC 2 Type 2 report available for the hosting environment?</v>
      </c>
      <c r="D136" s="4" t="str">
        <f>VLOOKUP($A136,Questions!$A$3:$L$333,11,0)&amp;""</f>
        <v/>
      </c>
      <c r="E136" s="4" t="str">
        <f>VLOOKUP($A136,Questions!$A$3:$L$333,12,0)&amp;""</f>
        <v>Infrastructure</v>
      </c>
      <c r="F136" s="4" t="str">
        <f>VLOOKUP($A136,'Institution Evaluation'!$A$56:$K$345,3,0)&amp;""</f>
        <v/>
      </c>
      <c r="G136" s="4" t="str">
        <f>VLOOKUP($A136,'Institution Evaluation'!$A$56:$K$345,7,0)&amp;""</f>
        <v>Yes</v>
      </c>
      <c r="H136" s="4" t="str">
        <f>VLOOKUP($A136,'Institution Evaluation'!$A$56:$K$345,8,0)&amp;""</f>
        <v/>
      </c>
      <c r="I136" s="4" t="str">
        <f>VLOOKUP($A136,'Institution Evaluation'!$A$56:$K$345,9,0)&amp;""</f>
        <v>Standard Importance</v>
      </c>
      <c r="J136" s="4" t="str">
        <f>VLOOKUP($A136,'Institution Evaluation'!$A$56:$K$345,10,0)&amp;""</f>
        <v/>
      </c>
      <c r="K136" s="4">
        <f>IF($I136='Auto Responses'!$J$11,20,IF($I136='Auto Responses'!$J$13,5,10))</f>
        <v>10</v>
      </c>
      <c r="L136" s="107" t="str">
        <f>IF(OR($E136='Auto Responses'!$L$13,$F136=""),'Auto Responses'!$J$5,IF(AND($D136='Auto Responses'!$J$27,$H136=""),'Auto Responses'!$J$5,IF(AND($D136='Auto Responses'!$J$27,$H136='Auto Responses'!$J$7),1,IF(AND($D136='Auto Responses'!$J$27,$H136='Auto Responses'!$J$8),0,IF(OR(AND($F136=$G136,$H136=""),$H136='Auto Responses'!$J$7),1,0)))))</f>
        <v>N/A</v>
      </c>
      <c r="M136" s="4" t="str">
        <f>VLOOKUP($A136,'Institution Evaluation'!$A$56:$K$345,11,0)&amp;""</f>
        <v>FALSE</v>
      </c>
      <c r="N136" s="4">
        <f>IF($J136='Auto Responses'!$J$11,1,IF(AND($J136="",$I136='Auto Responses'!$J$11),1,0))</f>
        <v>0</v>
      </c>
      <c r="O136" s="107" t="str">
        <f>IF(OR($F$17='Auto Responses'!$J$4,$E136='Auto Responses'!$L$13,$F136="",$F136='Auto Responses'!$J$5),'Auto Responses'!$J$5,IF($J136="",$K136,IF($J136='Auto Responses'!$J$13,5,IF($J136='Auto Responses'!$J$12,10,IF($J136='Auto Responses'!$J$11,20,0)))))</f>
        <v>N/A</v>
      </c>
      <c r="P136" s="107" t="str">
        <f>IF(OR($O136='Auto Responses'!$J$5,$L136='Auto Responses'!$J$5),'Auto Responses'!$J$5,$O136*$L136)</f>
        <v>N/A</v>
      </c>
      <c r="Q136" s="107">
        <f t="shared" si="14"/>
        <v>0</v>
      </c>
      <c r="R136" s="107">
        <f t="shared" si="19"/>
        <v>0</v>
      </c>
      <c r="S136" s="107">
        <f t="shared" si="15"/>
        <v>0</v>
      </c>
      <c r="T136" s="107">
        <f t="shared" si="16"/>
        <v>0</v>
      </c>
      <c r="U136" s="107">
        <f t="shared" si="20"/>
        <v>42</v>
      </c>
      <c r="V136" s="107">
        <f t="shared" si="17"/>
        <v>0</v>
      </c>
    </row>
    <row r="137" spans="1:22" ht="57" x14ac:dyDescent="0.2">
      <c r="A137" s="4" t="str">
        <f>Questions!$A137</f>
        <v>DCTR-03</v>
      </c>
      <c r="B137" s="4" t="str">
        <f t="shared" si="18"/>
        <v>DCTR</v>
      </c>
      <c r="C137" s="4" t="str">
        <f>VLOOKUP($A137,Questions!$A$3:$L$333,2,0)&amp;""</f>
        <v>Are you generally able to accommodate storing each institution's data within its geographic region?</v>
      </c>
      <c r="D137" s="4" t="str">
        <f>VLOOKUP($A137,Questions!$A$3:$L$333,11,0)&amp;""</f>
        <v/>
      </c>
      <c r="E137" s="4" t="str">
        <f>VLOOKUP($A137,Questions!$A$3:$L$333,12,0)&amp;""</f>
        <v>Infrastructure</v>
      </c>
      <c r="F137" s="4" t="str">
        <f>VLOOKUP($A137,'Institution Evaluation'!$A$56:$K$345,3,0)&amp;""</f>
        <v/>
      </c>
      <c r="G137" s="4" t="str">
        <f>VLOOKUP($A137,'Institution Evaluation'!$A$56:$K$345,7,0)&amp;""</f>
        <v>Yes</v>
      </c>
      <c r="H137" s="4" t="str">
        <f>VLOOKUP($A137,'Institution Evaluation'!$A$56:$K$345,8,0)&amp;""</f>
        <v/>
      </c>
      <c r="I137" s="4" t="str">
        <f>VLOOKUP($A137,'Institution Evaluation'!$A$56:$K$345,9,0)&amp;""</f>
        <v>Standard Importance</v>
      </c>
      <c r="J137" s="4" t="str">
        <f>VLOOKUP($A137,'Institution Evaluation'!$A$56:$K$345,10,0)&amp;""</f>
        <v/>
      </c>
      <c r="K137" s="4">
        <f>IF($I137='Auto Responses'!$J$11,20,IF($I137='Auto Responses'!$J$13,5,10))</f>
        <v>10</v>
      </c>
      <c r="L137" s="107" t="str">
        <f>IF(OR($E137='Auto Responses'!$L$13,$F137=""),'Auto Responses'!$J$5,IF(AND($D137='Auto Responses'!$J$27,$H137=""),'Auto Responses'!$J$5,IF(AND($D137='Auto Responses'!$J$27,$H137='Auto Responses'!$J$7),1,IF(AND($D137='Auto Responses'!$J$27,$H137='Auto Responses'!$J$8),0,IF(OR(AND($F137=$G137,$H137=""),$H137='Auto Responses'!$J$7),1,0)))))</f>
        <v>N/A</v>
      </c>
      <c r="M137" s="4" t="str">
        <f>VLOOKUP($A137,'Institution Evaluation'!$A$56:$K$345,11,0)&amp;""</f>
        <v>FALSE</v>
      </c>
      <c r="N137" s="4">
        <f>IF($J137='Auto Responses'!$J$11,1,IF(AND($J137="",$I137='Auto Responses'!$J$11),1,0))</f>
        <v>0</v>
      </c>
      <c r="O137" s="107" t="str">
        <f>IF(OR($F$17='Auto Responses'!$J$4,$E137='Auto Responses'!$L$13,$F137="",$F137='Auto Responses'!$J$5),'Auto Responses'!$J$5,IF($J137="",$K137,IF($J137='Auto Responses'!$J$13,5,IF($J137='Auto Responses'!$J$12,10,IF($J137='Auto Responses'!$J$11,20,0)))))</f>
        <v>N/A</v>
      </c>
      <c r="P137" s="107" t="str">
        <f>IF(OR($O137='Auto Responses'!$J$5,$L137='Auto Responses'!$J$5),'Auto Responses'!$J$5,$O137*$L137)</f>
        <v>N/A</v>
      </c>
      <c r="Q137" s="107">
        <f t="shared" si="14"/>
        <v>0</v>
      </c>
      <c r="R137" s="107">
        <f t="shared" si="19"/>
        <v>0</v>
      </c>
      <c r="S137" s="107">
        <f t="shared" si="15"/>
        <v>0</v>
      </c>
      <c r="T137" s="107">
        <f t="shared" si="16"/>
        <v>0</v>
      </c>
      <c r="U137" s="107">
        <f t="shared" si="20"/>
        <v>42</v>
      </c>
      <c r="V137" s="107">
        <f t="shared" si="17"/>
        <v>0</v>
      </c>
    </row>
    <row r="138" spans="1:22" ht="57" x14ac:dyDescent="0.2">
      <c r="A138" s="4" t="str">
        <f>Questions!$A138</f>
        <v>DCTR-04</v>
      </c>
      <c r="B138" s="4" t="str">
        <f t="shared" si="18"/>
        <v>DCTR</v>
      </c>
      <c r="C138" s="4" t="str">
        <f>VLOOKUP($A138,Questions!$A$3:$L$333,2,0)&amp;""</f>
        <v>Are the data centers staffed 24 hours a day, seven days a week (i.e., 24 x 7 x 365)?</v>
      </c>
      <c r="D138" s="4" t="str">
        <f>VLOOKUP($A138,Questions!$A$3:$L$333,11,0)&amp;""</f>
        <v/>
      </c>
      <c r="E138" s="4" t="str">
        <f>VLOOKUP($A138,Questions!$A$3:$L$333,12,0)&amp;""</f>
        <v>Infrastructure</v>
      </c>
      <c r="F138" s="4" t="str">
        <f>VLOOKUP($A138,'Institution Evaluation'!$A$56:$K$345,3,0)&amp;""</f>
        <v/>
      </c>
      <c r="G138" s="4" t="str">
        <f>VLOOKUP($A138,'Institution Evaluation'!$A$56:$K$345,7,0)&amp;""</f>
        <v>Yes</v>
      </c>
      <c r="H138" s="4" t="str">
        <f>VLOOKUP($A138,'Institution Evaluation'!$A$56:$K$345,8,0)&amp;""</f>
        <v/>
      </c>
      <c r="I138" s="4" t="str">
        <f>VLOOKUP($A138,'Institution Evaluation'!$A$56:$K$345,9,0)&amp;""</f>
        <v>Standard Importance</v>
      </c>
      <c r="J138" s="4" t="str">
        <f>VLOOKUP($A138,'Institution Evaluation'!$A$56:$K$345,10,0)&amp;""</f>
        <v/>
      </c>
      <c r="K138" s="4">
        <f>IF($I138='Auto Responses'!$J$11,20,IF($I138='Auto Responses'!$J$13,5,10))</f>
        <v>10</v>
      </c>
      <c r="L138" s="107" t="str">
        <f>IF(OR($E138='Auto Responses'!$L$13,$F138=""),'Auto Responses'!$J$5,IF(AND($D138='Auto Responses'!$J$27,$H138=""),'Auto Responses'!$J$5,IF(AND($D138='Auto Responses'!$J$27,$H138='Auto Responses'!$J$7),1,IF(AND($D138='Auto Responses'!$J$27,$H138='Auto Responses'!$J$8),0,IF(OR(AND($F138=$G138,$H138=""),$H138='Auto Responses'!$J$7),1,0)))))</f>
        <v>N/A</v>
      </c>
      <c r="M138" s="4" t="str">
        <f>VLOOKUP($A138,'Institution Evaluation'!$A$56:$K$345,11,0)&amp;""</f>
        <v>FALSE</v>
      </c>
      <c r="N138" s="4">
        <f>IF($J138='Auto Responses'!$J$11,1,IF(AND($J138="",$I138='Auto Responses'!$J$11),1,0))</f>
        <v>0</v>
      </c>
      <c r="O138" s="107" t="str">
        <f>IF(OR($F$17='Auto Responses'!$J$4,$E138='Auto Responses'!$L$13,$F138="",$F138='Auto Responses'!$J$5),'Auto Responses'!$J$5,IF($J138="",$K138,IF($J138='Auto Responses'!$J$13,5,IF($J138='Auto Responses'!$J$12,10,IF($J138='Auto Responses'!$J$11,20,0)))))</f>
        <v>N/A</v>
      </c>
      <c r="P138" s="107" t="str">
        <f>IF(OR($O138='Auto Responses'!$J$5,$L138='Auto Responses'!$J$5),'Auto Responses'!$J$5,$O138*$L138)</f>
        <v>N/A</v>
      </c>
      <c r="Q138" s="107">
        <f t="shared" si="14"/>
        <v>0</v>
      </c>
      <c r="R138" s="107">
        <f t="shared" si="19"/>
        <v>0</v>
      </c>
      <c r="S138" s="107">
        <f t="shared" si="15"/>
        <v>0</v>
      </c>
      <c r="T138" s="107">
        <f t="shared" si="16"/>
        <v>0</v>
      </c>
      <c r="U138" s="107">
        <f t="shared" si="20"/>
        <v>42</v>
      </c>
      <c r="V138" s="107">
        <f t="shared" si="17"/>
        <v>0</v>
      </c>
    </row>
    <row r="139" spans="1:22" ht="57" x14ac:dyDescent="0.2">
      <c r="A139" s="4" t="str">
        <f>Questions!$A139</f>
        <v>DCTR-05</v>
      </c>
      <c r="B139" s="4" t="str">
        <f t="shared" si="18"/>
        <v>DCTR</v>
      </c>
      <c r="C139" s="4" t="str">
        <f>VLOOKUP($A139,Questions!$A$3:$L$333,2,0)&amp;""</f>
        <v>Are your servers separated from other companies via a physical barrier, such as a cage or hard walls?</v>
      </c>
      <c r="D139" s="4" t="str">
        <f>VLOOKUP($A139,Questions!$A$3:$L$333,11,0)&amp;""</f>
        <v/>
      </c>
      <c r="E139" s="4" t="str">
        <f>VLOOKUP($A139,Questions!$A$3:$L$333,12,0)&amp;""</f>
        <v>Infrastructure</v>
      </c>
      <c r="F139" s="4" t="str">
        <f>VLOOKUP($A139,'Institution Evaluation'!$A$56:$K$345,3,0)&amp;""</f>
        <v/>
      </c>
      <c r="G139" s="4" t="str">
        <f>VLOOKUP($A139,'Institution Evaluation'!$A$56:$K$345,7,0)&amp;""</f>
        <v>Yes</v>
      </c>
      <c r="H139" s="4" t="str">
        <f>VLOOKUP($A139,'Institution Evaluation'!$A$56:$K$345,8,0)&amp;""</f>
        <v/>
      </c>
      <c r="I139" s="4" t="str">
        <f>VLOOKUP($A139,'Institution Evaluation'!$A$56:$K$345,9,0)&amp;""</f>
        <v>Standard Importance</v>
      </c>
      <c r="J139" s="4" t="str">
        <f>VLOOKUP($A139,'Institution Evaluation'!$A$56:$K$345,10,0)&amp;""</f>
        <v/>
      </c>
      <c r="K139" s="4">
        <f>IF($I139='Auto Responses'!$J$11,20,IF($I139='Auto Responses'!$J$13,5,10))</f>
        <v>10</v>
      </c>
      <c r="L139" s="107" t="str">
        <f>IF(OR($E139='Auto Responses'!$L$13,$F139=""),'Auto Responses'!$J$5,IF(AND($D139='Auto Responses'!$J$27,$H139=""),'Auto Responses'!$J$5,IF(AND($D139='Auto Responses'!$J$27,$H139='Auto Responses'!$J$7),1,IF(AND($D139='Auto Responses'!$J$27,$H139='Auto Responses'!$J$8),0,IF(OR(AND($F139=$G139,$H139=""),$H139='Auto Responses'!$J$7),1,0)))))</f>
        <v>N/A</v>
      </c>
      <c r="M139" s="4" t="str">
        <f>VLOOKUP($A139,'Institution Evaluation'!$A$56:$K$345,11,0)&amp;""</f>
        <v>FALSE</v>
      </c>
      <c r="N139" s="4">
        <f>IF($J139='Auto Responses'!$J$11,1,IF(AND($J139="",$I139='Auto Responses'!$J$11),1,0))</f>
        <v>0</v>
      </c>
      <c r="O139" s="107" t="str">
        <f>IF(OR($F$17='Auto Responses'!$J$4,$E139='Auto Responses'!$L$13,$F139="",$F139='Auto Responses'!$J$5),'Auto Responses'!$J$5,IF($J139="",$K139,IF($J139='Auto Responses'!$J$13,5,IF($J139='Auto Responses'!$J$12,10,IF($J139='Auto Responses'!$J$11,20,0)))))</f>
        <v>N/A</v>
      </c>
      <c r="P139" s="107" t="str">
        <f>IF(OR($O139='Auto Responses'!$J$5,$L139='Auto Responses'!$J$5),'Auto Responses'!$J$5,$O139*$L139)</f>
        <v>N/A</v>
      </c>
      <c r="Q139" s="107">
        <f t="shared" si="14"/>
        <v>0</v>
      </c>
      <c r="R139" s="107">
        <f t="shared" si="19"/>
        <v>0</v>
      </c>
      <c r="S139" s="107">
        <f t="shared" si="15"/>
        <v>0</v>
      </c>
      <c r="T139" s="107">
        <f t="shared" si="16"/>
        <v>0</v>
      </c>
      <c r="U139" s="107">
        <f t="shared" si="20"/>
        <v>42</v>
      </c>
      <c r="V139" s="107">
        <f t="shared" si="17"/>
        <v>0</v>
      </c>
    </row>
    <row r="140" spans="1:22" ht="57" x14ac:dyDescent="0.2">
      <c r="A140" s="4" t="str">
        <f>Questions!$A140</f>
        <v>DCTR-06</v>
      </c>
      <c r="B140" s="4" t="str">
        <f t="shared" si="18"/>
        <v>DCTR</v>
      </c>
      <c r="C140" s="4" t="str">
        <f>VLOOKUP($A140,Questions!$A$3:$L$333,2,0)&amp;""</f>
        <v>Does a physical barrier fully enclose the physical space, preventing unauthorized physical contact with any of your devices?*</v>
      </c>
      <c r="D140" s="4" t="str">
        <f>VLOOKUP($A140,Questions!$A$3:$L$333,11,0)&amp;""</f>
        <v/>
      </c>
      <c r="E140" s="4" t="str">
        <f>VLOOKUP($A140,Questions!$A$3:$L$333,12,0)&amp;""</f>
        <v>Infrastructure</v>
      </c>
      <c r="F140" s="4" t="str">
        <f>VLOOKUP($A140,'Institution Evaluation'!$A$56:$K$345,3,0)&amp;""</f>
        <v/>
      </c>
      <c r="G140" s="4" t="str">
        <f>VLOOKUP($A140,'Institution Evaluation'!$A$56:$K$345,7,0)&amp;""</f>
        <v>Yes</v>
      </c>
      <c r="H140" s="4" t="str">
        <f>VLOOKUP($A140,'Institution Evaluation'!$A$56:$K$345,8,0)&amp;""</f>
        <v/>
      </c>
      <c r="I140" s="4" t="str">
        <f>VLOOKUP($A140,'Institution Evaluation'!$A$56:$K$345,9,0)&amp;""</f>
        <v>Critical Importance</v>
      </c>
      <c r="J140" s="4" t="str">
        <f>VLOOKUP($A140,'Institution Evaluation'!$A$56:$K$345,10,0)&amp;""</f>
        <v/>
      </c>
      <c r="K140" s="4">
        <f>IF($I140='Auto Responses'!$J$11,20,IF($I140='Auto Responses'!$J$13,5,10))</f>
        <v>20</v>
      </c>
      <c r="L140" s="107" t="str">
        <f>IF(OR($E140='Auto Responses'!$L$13,$F140=""),'Auto Responses'!$J$5,IF(AND($D140='Auto Responses'!$J$27,$H140=""),'Auto Responses'!$J$5,IF(AND($D140='Auto Responses'!$J$27,$H140='Auto Responses'!$J$7),1,IF(AND($D140='Auto Responses'!$J$27,$H140='Auto Responses'!$J$8),0,IF(OR(AND($F140=$G140,$H140=""),$H140='Auto Responses'!$J$7),1,0)))))</f>
        <v>N/A</v>
      </c>
      <c r="M140" s="4" t="str">
        <f>VLOOKUP($A140,'Institution Evaluation'!$A$56:$K$345,11,0)&amp;""</f>
        <v>FALSE</v>
      </c>
      <c r="N140" s="4">
        <f>IF($J140='Auto Responses'!$J$11,1,IF(AND($J140="",$I140='Auto Responses'!$J$11),1,0))</f>
        <v>1</v>
      </c>
      <c r="O140" s="107" t="str">
        <f>IF(OR($F$17='Auto Responses'!$J$4,$E140='Auto Responses'!$L$13,$F140="",$F140='Auto Responses'!$J$5),'Auto Responses'!$J$5,IF($J140="",$K140,IF($J140='Auto Responses'!$J$13,5,IF($J140='Auto Responses'!$J$12,10,IF($J140='Auto Responses'!$J$11,20,0)))))</f>
        <v>N/A</v>
      </c>
      <c r="P140" s="107" t="str">
        <f>IF(OR($O140='Auto Responses'!$J$5,$L140='Auto Responses'!$J$5),'Auto Responses'!$J$5,$O140*$L140)</f>
        <v>N/A</v>
      </c>
      <c r="Q140" s="107">
        <f t="shared" si="14"/>
        <v>0</v>
      </c>
      <c r="R140" s="107">
        <f t="shared" si="19"/>
        <v>0</v>
      </c>
      <c r="S140" s="107">
        <f t="shared" si="15"/>
        <v>0</v>
      </c>
      <c r="T140" s="107">
        <f t="shared" si="16"/>
        <v>1</v>
      </c>
      <c r="U140" s="107">
        <f t="shared" si="20"/>
        <v>43</v>
      </c>
      <c r="V140" s="107">
        <f t="shared" si="17"/>
        <v>43</v>
      </c>
    </row>
    <row r="141" spans="1:22" ht="57" x14ac:dyDescent="0.2">
      <c r="A141" s="4" t="str">
        <f>Questions!$A141</f>
        <v>DCTR-07</v>
      </c>
      <c r="B141" s="4" t="str">
        <f t="shared" si="18"/>
        <v>DCTR</v>
      </c>
      <c r="C141" s="4" t="str">
        <f>VLOOKUP($A141,Questions!$A$3:$L$333,2,0)&amp;""</f>
        <v>Are your primary and secondary data centers geographically diverse?</v>
      </c>
      <c r="D141" s="4" t="str">
        <f>VLOOKUP($A141,Questions!$A$3:$L$333,11,0)&amp;""</f>
        <v/>
      </c>
      <c r="E141" s="4" t="str">
        <f>VLOOKUP($A141,Questions!$A$3:$L$333,12,0)&amp;""</f>
        <v>Infrastructure</v>
      </c>
      <c r="F141" s="4" t="str">
        <f>VLOOKUP($A141,'Institution Evaluation'!$A$56:$K$345,3,0)&amp;""</f>
        <v/>
      </c>
      <c r="G141" s="4" t="str">
        <f>VLOOKUP($A141,'Institution Evaluation'!$A$56:$K$345,7,0)&amp;""</f>
        <v>Yes</v>
      </c>
      <c r="H141" s="4" t="str">
        <f>VLOOKUP($A141,'Institution Evaluation'!$A$56:$K$345,8,0)&amp;""</f>
        <v/>
      </c>
      <c r="I141" s="4" t="str">
        <f>VLOOKUP($A141,'Institution Evaluation'!$A$56:$K$345,9,0)&amp;""</f>
        <v>Standard Importance</v>
      </c>
      <c r="J141" s="4" t="str">
        <f>VLOOKUP($A141,'Institution Evaluation'!$A$56:$K$345,10,0)&amp;""</f>
        <v/>
      </c>
      <c r="K141" s="4">
        <f>IF($I141='Auto Responses'!$J$11,20,IF($I141='Auto Responses'!$J$13,5,10))</f>
        <v>10</v>
      </c>
      <c r="L141" s="107" t="str">
        <f>IF(OR($E141='Auto Responses'!$L$13,$F141=""),'Auto Responses'!$J$5,IF(AND($D141='Auto Responses'!$J$27,$H141=""),'Auto Responses'!$J$5,IF(AND($D141='Auto Responses'!$J$27,$H141='Auto Responses'!$J$7),1,IF(AND($D141='Auto Responses'!$J$27,$H141='Auto Responses'!$J$8),0,IF(OR(AND($F141=$G141,$H141=""),$H141='Auto Responses'!$J$7),1,0)))))</f>
        <v>N/A</v>
      </c>
      <c r="M141" s="4" t="str">
        <f>VLOOKUP($A141,'Institution Evaluation'!$A$56:$K$345,11,0)&amp;""</f>
        <v>FALSE</v>
      </c>
      <c r="N141" s="4">
        <f>IF($J141='Auto Responses'!$J$11,1,IF(AND($J141="",$I141='Auto Responses'!$J$11),1,0))</f>
        <v>0</v>
      </c>
      <c r="O141" s="107" t="str">
        <f>IF(OR($F$17='Auto Responses'!$J$4,$E141='Auto Responses'!$L$13,$F141="",$F141='Auto Responses'!$J$5),'Auto Responses'!$J$5,IF($J141="",$K141,IF($J141='Auto Responses'!$J$13,5,IF($J141='Auto Responses'!$J$12,10,IF($J141='Auto Responses'!$J$11,20,0)))))</f>
        <v>N/A</v>
      </c>
      <c r="P141" s="107" t="str">
        <f>IF(OR($O141='Auto Responses'!$J$5,$L141='Auto Responses'!$J$5),'Auto Responses'!$J$5,$O141*$L141)</f>
        <v>N/A</v>
      </c>
      <c r="Q141" s="107">
        <f t="shared" si="14"/>
        <v>0</v>
      </c>
      <c r="R141" s="107">
        <f t="shared" si="19"/>
        <v>0</v>
      </c>
      <c r="S141" s="107">
        <f t="shared" si="15"/>
        <v>0</v>
      </c>
      <c r="T141" s="107">
        <f t="shared" si="16"/>
        <v>0</v>
      </c>
      <c r="U141" s="107">
        <f t="shared" si="20"/>
        <v>43</v>
      </c>
      <c r="V141" s="107">
        <f t="shared" si="17"/>
        <v>0</v>
      </c>
    </row>
    <row r="142" spans="1:22" ht="57" x14ac:dyDescent="0.2">
      <c r="A142" s="4" t="str">
        <f>Questions!$A142</f>
        <v>DCTR-08</v>
      </c>
      <c r="B142" s="4" t="str">
        <f t="shared" si="18"/>
        <v>DCTR</v>
      </c>
      <c r="C142" s="4" t="str">
        <f>VLOOKUP($A142,Questions!$A$3:$L$333,2,0)&amp;""</f>
        <v>Is the service hosted in a high-availability environment?</v>
      </c>
      <c r="D142" s="4" t="str">
        <f>VLOOKUP($A142,Questions!$A$3:$L$333,11,0)&amp;""</f>
        <v/>
      </c>
      <c r="E142" s="4" t="str">
        <f>VLOOKUP($A142,Questions!$A$3:$L$333,12,0)&amp;""</f>
        <v>Infrastructure</v>
      </c>
      <c r="F142" s="4" t="str">
        <f>VLOOKUP($A142,'Institution Evaluation'!$A$56:$K$345,3,0)&amp;""</f>
        <v/>
      </c>
      <c r="G142" s="4" t="str">
        <f>VLOOKUP($A142,'Institution Evaluation'!$A$56:$K$345,7,0)&amp;""</f>
        <v>Yes</v>
      </c>
      <c r="H142" s="4" t="str">
        <f>VLOOKUP($A142,'Institution Evaluation'!$A$56:$K$345,8,0)&amp;""</f>
        <v/>
      </c>
      <c r="I142" s="4" t="str">
        <f>VLOOKUP($A142,'Institution Evaluation'!$A$56:$K$345,9,0)&amp;""</f>
        <v>Standard Importance</v>
      </c>
      <c r="J142" s="4" t="str">
        <f>VLOOKUP($A142,'Institution Evaluation'!$A$56:$K$345,10,0)&amp;""</f>
        <v/>
      </c>
      <c r="K142" s="4">
        <f>IF($I142='Auto Responses'!$J$11,20,IF($I142='Auto Responses'!$J$13,5,10))</f>
        <v>10</v>
      </c>
      <c r="L142" s="107" t="str">
        <f>IF(OR($E142='Auto Responses'!$L$13,$F142=""),'Auto Responses'!$J$5,IF(AND($D142='Auto Responses'!$J$27,$H142=""),'Auto Responses'!$J$5,IF(AND($D142='Auto Responses'!$J$27,$H142='Auto Responses'!$J$7),1,IF(AND($D142='Auto Responses'!$J$27,$H142='Auto Responses'!$J$8),0,IF(OR(AND($F142=$G142,$H142=""),$H142='Auto Responses'!$J$7),1,0)))))</f>
        <v>N/A</v>
      </c>
      <c r="M142" s="4" t="str">
        <f>VLOOKUP($A142,'Institution Evaluation'!$A$56:$K$345,11,0)&amp;""</f>
        <v>FALSE</v>
      </c>
      <c r="N142" s="4">
        <f>IF($J142='Auto Responses'!$J$11,1,IF(AND($J142="",$I142='Auto Responses'!$J$11),1,0))</f>
        <v>0</v>
      </c>
      <c r="O142" s="107" t="str">
        <f>IF(OR($F$17='Auto Responses'!$J$4,$E142='Auto Responses'!$L$13,$F142="",$F142='Auto Responses'!$J$5),'Auto Responses'!$J$5,IF($J142="",$K142,IF($J142='Auto Responses'!$J$13,5,IF($J142='Auto Responses'!$J$12,10,IF($J142='Auto Responses'!$J$11,20,0)))))</f>
        <v>N/A</v>
      </c>
      <c r="P142" s="107" t="str">
        <f>IF(OR($O142='Auto Responses'!$J$5,$L142='Auto Responses'!$J$5),'Auto Responses'!$J$5,$O142*$L142)</f>
        <v>N/A</v>
      </c>
      <c r="Q142" s="107">
        <f t="shared" si="14"/>
        <v>0</v>
      </c>
      <c r="R142" s="107">
        <f t="shared" si="19"/>
        <v>0</v>
      </c>
      <c r="S142" s="107">
        <f t="shared" si="15"/>
        <v>0</v>
      </c>
      <c r="T142" s="107">
        <f t="shared" si="16"/>
        <v>0</v>
      </c>
      <c r="U142" s="107">
        <f t="shared" si="20"/>
        <v>43</v>
      </c>
      <c r="V142" s="107">
        <f t="shared" si="17"/>
        <v>0</v>
      </c>
    </row>
    <row r="143" spans="1:22" ht="57" x14ac:dyDescent="0.2">
      <c r="A143" s="4" t="str">
        <f>Questions!$A143</f>
        <v>DCTR-09</v>
      </c>
      <c r="B143" s="4" t="str">
        <f t="shared" si="18"/>
        <v>DCTR</v>
      </c>
      <c r="C143" s="4" t="str">
        <f>VLOOKUP($A143,Questions!$A$3:$L$333,2,0)&amp;""</f>
        <v>Is redundant power available for all data centers where institutional data will reside?</v>
      </c>
      <c r="D143" s="4" t="str">
        <f>VLOOKUP($A143,Questions!$A$3:$L$333,11,0)&amp;""</f>
        <v/>
      </c>
      <c r="E143" s="4" t="str">
        <f>VLOOKUP($A143,Questions!$A$3:$L$333,12,0)&amp;""</f>
        <v>Infrastructure</v>
      </c>
      <c r="F143" s="4" t="str">
        <f>VLOOKUP($A143,'Institution Evaluation'!$A$56:$K$345,3,0)&amp;""</f>
        <v/>
      </c>
      <c r="G143" s="4" t="str">
        <f>VLOOKUP($A143,'Institution Evaluation'!$A$56:$K$345,7,0)&amp;""</f>
        <v>Yes</v>
      </c>
      <c r="H143" s="4" t="str">
        <f>VLOOKUP($A143,'Institution Evaluation'!$A$56:$K$345,8,0)&amp;""</f>
        <v/>
      </c>
      <c r="I143" s="4" t="str">
        <f>VLOOKUP($A143,'Institution Evaluation'!$A$56:$K$345,9,0)&amp;""</f>
        <v>Standard Importance</v>
      </c>
      <c r="J143" s="4" t="str">
        <f>VLOOKUP($A143,'Institution Evaluation'!$A$56:$K$345,10,0)&amp;""</f>
        <v/>
      </c>
      <c r="K143" s="4">
        <f>IF($I143='Auto Responses'!$J$11,20,IF($I143='Auto Responses'!$J$13,5,10))</f>
        <v>10</v>
      </c>
      <c r="L143" s="107" t="str">
        <f>IF(OR($E143='Auto Responses'!$L$13,$F143=""),'Auto Responses'!$J$5,IF(AND($D143='Auto Responses'!$J$27,$H143=""),'Auto Responses'!$J$5,IF(AND($D143='Auto Responses'!$J$27,$H143='Auto Responses'!$J$7),1,IF(AND($D143='Auto Responses'!$J$27,$H143='Auto Responses'!$J$8),0,IF(OR(AND($F143=$G143,$H143=""),$H143='Auto Responses'!$J$7),1,0)))))</f>
        <v>N/A</v>
      </c>
      <c r="M143" s="4" t="str">
        <f>VLOOKUP($A143,'Institution Evaluation'!$A$56:$K$345,11,0)&amp;""</f>
        <v>FALSE</v>
      </c>
      <c r="N143" s="4">
        <f>IF($J143='Auto Responses'!$J$11,1,IF(AND($J143="",$I143='Auto Responses'!$J$11),1,0))</f>
        <v>0</v>
      </c>
      <c r="O143" s="107" t="str">
        <f>IF(OR($F$17='Auto Responses'!$J$4,$E143='Auto Responses'!$L$13,$F143="",$F143='Auto Responses'!$J$5),'Auto Responses'!$J$5,IF($J143="",$K143,IF($J143='Auto Responses'!$J$13,5,IF($J143='Auto Responses'!$J$12,10,IF($J143='Auto Responses'!$J$11,20,0)))))</f>
        <v>N/A</v>
      </c>
      <c r="P143" s="107" t="str">
        <f>IF(OR($O143='Auto Responses'!$J$5,$L143='Auto Responses'!$J$5),'Auto Responses'!$J$5,$O143*$L143)</f>
        <v>N/A</v>
      </c>
      <c r="Q143" s="107">
        <f t="shared" si="14"/>
        <v>0</v>
      </c>
      <c r="R143" s="107">
        <f t="shared" si="19"/>
        <v>0</v>
      </c>
      <c r="S143" s="107">
        <f t="shared" si="15"/>
        <v>0</v>
      </c>
      <c r="T143" s="107">
        <f t="shared" si="16"/>
        <v>0</v>
      </c>
      <c r="U143" s="107">
        <f t="shared" si="20"/>
        <v>43</v>
      </c>
      <c r="V143" s="107">
        <f t="shared" si="17"/>
        <v>0</v>
      </c>
    </row>
    <row r="144" spans="1:22" ht="57" x14ac:dyDescent="0.2">
      <c r="A144" s="4" t="str">
        <f>Questions!$A144</f>
        <v>DCTR-10</v>
      </c>
      <c r="B144" s="4" t="str">
        <f t="shared" si="18"/>
        <v>DCTR</v>
      </c>
      <c r="C144" s="4" t="str">
        <f>VLOOKUP($A144,Questions!$A$3:$L$333,2,0)&amp;""</f>
        <v>Are redundant power strategies tested?*</v>
      </c>
      <c r="D144" s="4" t="str">
        <f>VLOOKUP($A144,Questions!$A$3:$L$333,11,0)&amp;""</f>
        <v/>
      </c>
      <c r="E144" s="4" t="str">
        <f>VLOOKUP($A144,Questions!$A$3:$L$333,12,0)&amp;""</f>
        <v>Infrastructure</v>
      </c>
      <c r="F144" s="4" t="str">
        <f>VLOOKUP($A144,'Institution Evaluation'!$A$56:$K$345,3,0)&amp;""</f>
        <v/>
      </c>
      <c r="G144" s="4" t="str">
        <f>VLOOKUP($A144,'Institution Evaluation'!$A$56:$K$345,7,0)&amp;""</f>
        <v>Yes</v>
      </c>
      <c r="H144" s="4" t="str">
        <f>VLOOKUP($A144,'Institution Evaluation'!$A$56:$K$345,8,0)&amp;""</f>
        <v/>
      </c>
      <c r="I144" s="4" t="str">
        <f>VLOOKUP($A144,'Institution Evaluation'!$A$56:$K$345,9,0)&amp;""</f>
        <v>Critical Importance</v>
      </c>
      <c r="J144" s="4" t="str">
        <f>VLOOKUP($A144,'Institution Evaluation'!$A$56:$K$345,10,0)&amp;""</f>
        <v/>
      </c>
      <c r="K144" s="4">
        <f>IF($I144='Auto Responses'!$J$11,20,IF($I144='Auto Responses'!$J$13,5,10))</f>
        <v>20</v>
      </c>
      <c r="L144" s="107" t="str">
        <f>IF(OR($E144='Auto Responses'!$L$13,$F144=""),'Auto Responses'!$J$5,IF(AND($D144='Auto Responses'!$J$27,$H144=""),'Auto Responses'!$J$5,IF(AND($D144='Auto Responses'!$J$27,$H144='Auto Responses'!$J$7),1,IF(AND($D144='Auto Responses'!$J$27,$H144='Auto Responses'!$J$8),0,IF(OR(AND($F144=$G144,$H144=""),$H144='Auto Responses'!$J$7),1,0)))))</f>
        <v>N/A</v>
      </c>
      <c r="M144" s="4" t="str">
        <f>VLOOKUP($A144,'Institution Evaluation'!$A$56:$K$345,11,0)&amp;""</f>
        <v>FALSE</v>
      </c>
      <c r="N144" s="4">
        <f>IF($J144='Auto Responses'!$J$11,1,IF(AND($J144="",$I144='Auto Responses'!$J$11),1,0))</f>
        <v>1</v>
      </c>
      <c r="O144" s="107" t="str">
        <f>IF(OR($F$17='Auto Responses'!$J$4,$E144='Auto Responses'!$L$13,$F144="",$F144='Auto Responses'!$J$5),'Auto Responses'!$J$5,IF($J144="",$K144,IF($J144='Auto Responses'!$J$13,5,IF($J144='Auto Responses'!$J$12,10,IF($J144='Auto Responses'!$J$11,20,0)))))</f>
        <v>N/A</v>
      </c>
      <c r="P144" s="107" t="str">
        <f>IF(OR($O144='Auto Responses'!$J$5,$L144='Auto Responses'!$J$5),'Auto Responses'!$J$5,$O144*$L144)</f>
        <v>N/A</v>
      </c>
      <c r="Q144" s="107">
        <f t="shared" si="14"/>
        <v>0</v>
      </c>
      <c r="R144" s="107">
        <f t="shared" si="19"/>
        <v>0</v>
      </c>
      <c r="S144" s="107">
        <f t="shared" si="15"/>
        <v>0</v>
      </c>
      <c r="T144" s="107">
        <f t="shared" si="16"/>
        <v>1</v>
      </c>
      <c r="U144" s="107">
        <f t="shared" si="20"/>
        <v>44</v>
      </c>
      <c r="V144" s="107">
        <f t="shared" si="17"/>
        <v>44</v>
      </c>
    </row>
    <row r="145" spans="1:22" ht="57" x14ac:dyDescent="0.2">
      <c r="A145" s="4" t="str">
        <f>Questions!$A145</f>
        <v>DCTR-11</v>
      </c>
      <c r="B145" s="4" t="str">
        <f t="shared" si="18"/>
        <v>DCTR</v>
      </c>
      <c r="C145" s="4" t="str">
        <f>VLOOKUP($A145,Questions!$A$3:$L$333,2,0)&amp;""</f>
        <v>Does the center where the data will reside have cooling and fire-suppression systems that are active and regularly tested?</v>
      </c>
      <c r="D145" s="4" t="str">
        <f>VLOOKUP($A145,Questions!$A$3:$L$333,11,0)&amp;""</f>
        <v/>
      </c>
      <c r="E145" s="4" t="str">
        <f>VLOOKUP($A145,Questions!$A$3:$L$333,12,0)&amp;""</f>
        <v>Infrastructure</v>
      </c>
      <c r="F145" s="4" t="str">
        <f>VLOOKUP($A145,'Institution Evaluation'!$A$56:$K$345,3,0)&amp;""</f>
        <v/>
      </c>
      <c r="G145" s="4" t="str">
        <f>VLOOKUP($A145,'Institution Evaluation'!$A$56:$K$345,7,0)&amp;""</f>
        <v>Yes</v>
      </c>
      <c r="H145" s="4" t="str">
        <f>VLOOKUP($A145,'Institution Evaluation'!$A$56:$K$345,8,0)&amp;""</f>
        <v/>
      </c>
      <c r="I145" s="4" t="str">
        <f>VLOOKUP($A145,'Institution Evaluation'!$A$56:$K$345,9,0)&amp;""</f>
        <v>Standard Importance</v>
      </c>
      <c r="J145" s="4" t="str">
        <f>VLOOKUP($A145,'Institution Evaluation'!$A$56:$K$345,10,0)&amp;""</f>
        <v/>
      </c>
      <c r="K145" s="4">
        <f>IF($I145='Auto Responses'!$J$11,20,IF($I145='Auto Responses'!$J$13,5,10))</f>
        <v>10</v>
      </c>
      <c r="L145" s="107" t="str">
        <f>IF(OR($E145='Auto Responses'!$L$13,$F145=""),'Auto Responses'!$J$5,IF(AND($D145='Auto Responses'!$J$27,$H145=""),'Auto Responses'!$J$5,IF(AND($D145='Auto Responses'!$J$27,$H145='Auto Responses'!$J$7),1,IF(AND($D145='Auto Responses'!$J$27,$H145='Auto Responses'!$J$8),0,IF(OR(AND($F145=$G145,$H145=""),$H145='Auto Responses'!$J$7),1,0)))))</f>
        <v>N/A</v>
      </c>
      <c r="M145" s="4" t="str">
        <f>VLOOKUP($A145,'Institution Evaluation'!$A$56:$K$345,11,0)&amp;""</f>
        <v>FALSE</v>
      </c>
      <c r="N145" s="4">
        <f>IF($J145='Auto Responses'!$J$11,1,IF(AND($J145="",$I145='Auto Responses'!$J$11),1,0))</f>
        <v>0</v>
      </c>
      <c r="O145" s="107" t="str">
        <f>IF(OR($F$17='Auto Responses'!$J$4,$E145='Auto Responses'!$L$13,$F145="",$F145='Auto Responses'!$J$5),'Auto Responses'!$J$5,IF($J145="",$K145,IF($J145='Auto Responses'!$J$13,5,IF($J145='Auto Responses'!$J$12,10,IF($J145='Auto Responses'!$J$11,20,0)))))</f>
        <v>N/A</v>
      </c>
      <c r="P145" s="107" t="str">
        <f>IF(OR($O145='Auto Responses'!$J$5,$L145='Auto Responses'!$J$5),'Auto Responses'!$J$5,$O145*$L145)</f>
        <v>N/A</v>
      </c>
      <c r="Q145" s="107">
        <f t="shared" si="14"/>
        <v>0</v>
      </c>
      <c r="R145" s="107">
        <f t="shared" si="19"/>
        <v>0</v>
      </c>
      <c r="S145" s="107">
        <f t="shared" si="15"/>
        <v>0</v>
      </c>
      <c r="T145" s="107">
        <f t="shared" si="16"/>
        <v>0</v>
      </c>
      <c r="U145" s="107">
        <f t="shared" si="20"/>
        <v>44</v>
      </c>
      <c r="V145" s="107">
        <f t="shared" si="17"/>
        <v>0</v>
      </c>
    </row>
    <row r="146" spans="1:22" ht="57" x14ac:dyDescent="0.2">
      <c r="A146" s="4" t="str">
        <f>Questions!$A146</f>
        <v>DCTR-12</v>
      </c>
      <c r="B146" s="4" t="str">
        <f t="shared" si="18"/>
        <v>DCTR</v>
      </c>
      <c r="C146" s="4" t="str">
        <f>VLOOKUP($A146,Questions!$A$3:$L$333,2,0)&amp;""</f>
        <v>Do you have Internet Service Provider (ISP) redundancy?</v>
      </c>
      <c r="D146" s="4" t="str">
        <f>VLOOKUP($A146,Questions!$A$3:$L$333,11,0)&amp;""</f>
        <v/>
      </c>
      <c r="E146" s="4" t="str">
        <f>VLOOKUP($A146,Questions!$A$3:$L$333,12,0)&amp;""</f>
        <v>Infrastructure</v>
      </c>
      <c r="F146" s="4" t="str">
        <f>VLOOKUP($A146,'Institution Evaluation'!$A$56:$K$345,3,0)&amp;""</f>
        <v/>
      </c>
      <c r="G146" s="4" t="str">
        <f>VLOOKUP($A146,'Institution Evaluation'!$A$56:$K$345,7,0)&amp;""</f>
        <v>Yes</v>
      </c>
      <c r="H146" s="4" t="str">
        <f>VLOOKUP($A146,'Institution Evaluation'!$A$56:$K$345,8,0)&amp;""</f>
        <v/>
      </c>
      <c r="I146" s="4" t="str">
        <f>VLOOKUP($A146,'Institution Evaluation'!$A$56:$K$345,9,0)&amp;""</f>
        <v>Standard Importance</v>
      </c>
      <c r="J146" s="4" t="str">
        <f>VLOOKUP($A146,'Institution Evaluation'!$A$56:$K$345,10,0)&amp;""</f>
        <v/>
      </c>
      <c r="K146" s="4">
        <f>IF($I146='Auto Responses'!$J$11,20,IF($I146='Auto Responses'!$J$13,5,10))</f>
        <v>10</v>
      </c>
      <c r="L146" s="107" t="str">
        <f>IF(OR($E146='Auto Responses'!$L$13,$F146=""),'Auto Responses'!$J$5,IF(AND($D146='Auto Responses'!$J$27,$H146=""),'Auto Responses'!$J$5,IF(AND($D146='Auto Responses'!$J$27,$H146='Auto Responses'!$J$7),1,IF(AND($D146='Auto Responses'!$J$27,$H146='Auto Responses'!$J$8),0,IF(OR(AND($F146=$G146,$H146=""),$H146='Auto Responses'!$J$7),1,0)))))</f>
        <v>N/A</v>
      </c>
      <c r="M146" s="4" t="str">
        <f>VLOOKUP($A146,'Institution Evaluation'!$A$56:$K$345,11,0)&amp;""</f>
        <v>FALSE</v>
      </c>
      <c r="N146" s="4">
        <f>IF($J146='Auto Responses'!$J$11,1,IF(AND($J146="",$I146='Auto Responses'!$J$11),1,0))</f>
        <v>0</v>
      </c>
      <c r="O146" s="107" t="str">
        <f>IF(OR($F$17='Auto Responses'!$J$4,$E146='Auto Responses'!$L$13,$F146="",$F146='Auto Responses'!$J$5),'Auto Responses'!$J$5,IF($J146="",$K146,IF($J146='Auto Responses'!$J$13,5,IF($J146='Auto Responses'!$J$12,10,IF($J146='Auto Responses'!$J$11,20,0)))))</f>
        <v>N/A</v>
      </c>
      <c r="P146" s="107" t="str">
        <f>IF(OR($O146='Auto Responses'!$J$5,$L146='Auto Responses'!$J$5),'Auto Responses'!$J$5,$O146*$L146)</f>
        <v>N/A</v>
      </c>
      <c r="Q146" s="107">
        <f t="shared" si="14"/>
        <v>0</v>
      </c>
      <c r="R146" s="107">
        <f t="shared" si="19"/>
        <v>0</v>
      </c>
      <c r="S146" s="107">
        <f t="shared" si="15"/>
        <v>0</v>
      </c>
      <c r="T146" s="107">
        <f t="shared" si="16"/>
        <v>0</v>
      </c>
      <c r="U146" s="107">
        <f t="shared" si="20"/>
        <v>44</v>
      </c>
      <c r="V146" s="107">
        <f t="shared" si="17"/>
        <v>0</v>
      </c>
    </row>
    <row r="147" spans="1:22" ht="57" x14ac:dyDescent="0.2">
      <c r="A147" s="4" t="str">
        <f>Questions!$A147</f>
        <v>DCTR-13</v>
      </c>
      <c r="B147" s="4" t="str">
        <f t="shared" si="18"/>
        <v>DCTR</v>
      </c>
      <c r="C147" s="4" t="str">
        <f>VLOOKUP($A147,Questions!$A$3:$L$333,2,0)&amp;""</f>
        <v>Does every data center where the institution's data will reside have multiple telephone company or network provider entrances to the facility?</v>
      </c>
      <c r="D147" s="4" t="str">
        <f>VLOOKUP($A147,Questions!$A$3:$L$333,11,0)&amp;""</f>
        <v/>
      </c>
      <c r="E147" s="4" t="str">
        <f>VLOOKUP($A147,Questions!$A$3:$L$333,12,0)&amp;""</f>
        <v>Infrastructure</v>
      </c>
      <c r="F147" s="4" t="str">
        <f>VLOOKUP($A147,'Institution Evaluation'!$A$56:$K$345,3,0)&amp;""</f>
        <v/>
      </c>
      <c r="G147" s="4" t="str">
        <f>VLOOKUP($A147,'Institution Evaluation'!$A$56:$K$345,7,0)&amp;""</f>
        <v>Yes</v>
      </c>
      <c r="H147" s="4" t="str">
        <f>VLOOKUP($A147,'Institution Evaluation'!$A$56:$K$345,8,0)&amp;""</f>
        <v/>
      </c>
      <c r="I147" s="4" t="str">
        <f>VLOOKUP($A147,'Institution Evaluation'!$A$56:$K$345,9,0)&amp;""</f>
        <v>Standard Importance</v>
      </c>
      <c r="J147" s="4" t="str">
        <f>VLOOKUP($A147,'Institution Evaluation'!$A$56:$K$345,10,0)&amp;""</f>
        <v/>
      </c>
      <c r="K147" s="4">
        <f>IF($I147='Auto Responses'!$J$11,20,IF($I147='Auto Responses'!$J$13,5,10))</f>
        <v>10</v>
      </c>
      <c r="L147" s="107" t="str">
        <f>IF(OR($E147='Auto Responses'!$L$13,$F147=""),'Auto Responses'!$J$5,IF(AND($D147='Auto Responses'!$J$27,$H147=""),'Auto Responses'!$J$5,IF(AND($D147='Auto Responses'!$J$27,$H147='Auto Responses'!$J$7),1,IF(AND($D147='Auto Responses'!$J$27,$H147='Auto Responses'!$J$8),0,IF(OR(AND($F147=$G147,$H147=""),$H147='Auto Responses'!$J$7),1,0)))))</f>
        <v>N/A</v>
      </c>
      <c r="M147" s="4" t="str">
        <f>VLOOKUP($A147,'Institution Evaluation'!$A$56:$K$345,11,0)&amp;""</f>
        <v>FALSE</v>
      </c>
      <c r="N147" s="4">
        <f>IF($J147='Auto Responses'!$J$11,1,IF(AND($J147="",$I147='Auto Responses'!$J$11),1,0))</f>
        <v>0</v>
      </c>
      <c r="O147" s="107" t="str">
        <f>IF(OR($F$17='Auto Responses'!$J$4,$E147='Auto Responses'!$L$13,$F147="",$F147='Auto Responses'!$J$5),'Auto Responses'!$J$5,IF($J147="",$K147,IF($J147='Auto Responses'!$J$13,5,IF($J147='Auto Responses'!$J$12,10,IF($J147='Auto Responses'!$J$11,20,0)))))</f>
        <v>N/A</v>
      </c>
      <c r="P147" s="107" t="str">
        <f>IF(OR($O147='Auto Responses'!$J$5,$L147='Auto Responses'!$J$5),'Auto Responses'!$J$5,$O147*$L147)</f>
        <v>N/A</v>
      </c>
      <c r="Q147" s="107">
        <f t="shared" si="14"/>
        <v>0</v>
      </c>
      <c r="R147" s="107">
        <f t="shared" si="19"/>
        <v>0</v>
      </c>
      <c r="S147" s="107">
        <f t="shared" si="15"/>
        <v>0</v>
      </c>
      <c r="T147" s="107">
        <f t="shared" si="16"/>
        <v>0</v>
      </c>
      <c r="U147" s="107">
        <f t="shared" si="20"/>
        <v>44</v>
      </c>
      <c r="V147" s="107">
        <f t="shared" si="17"/>
        <v>0</v>
      </c>
    </row>
    <row r="148" spans="1:22" ht="57" x14ac:dyDescent="0.2">
      <c r="A148" s="4" t="str">
        <f>Questions!$A148</f>
        <v>DCTR-14</v>
      </c>
      <c r="B148" s="4" t="str">
        <f t="shared" si="18"/>
        <v>DCTR</v>
      </c>
      <c r="C148" s="4" t="str">
        <f>VLOOKUP($A148,Questions!$A$3:$L$333,2,0)&amp;""</f>
        <v>Do you require multifactor authentication for all administrative accounts in your environment?</v>
      </c>
      <c r="D148" s="4" t="str">
        <f>VLOOKUP($A148,Questions!$A$3:$L$333,11,0)&amp;""</f>
        <v/>
      </c>
      <c r="E148" s="4" t="str">
        <f>VLOOKUP($A148,Questions!$A$3:$L$333,12,0)&amp;""</f>
        <v>Infrastructure</v>
      </c>
      <c r="F148" s="4" t="str">
        <f>VLOOKUP($A148,'Institution Evaluation'!$A$56:$K$345,3,0)&amp;""</f>
        <v/>
      </c>
      <c r="G148" s="4" t="str">
        <f>VLOOKUP($A148,'Institution Evaluation'!$A$56:$K$345,7,0)&amp;""</f>
        <v>Yes</v>
      </c>
      <c r="H148" s="4" t="str">
        <f>VLOOKUP($A148,'Institution Evaluation'!$A$56:$K$345,8,0)&amp;""</f>
        <v/>
      </c>
      <c r="I148" s="4" t="str">
        <f>VLOOKUP($A148,'Institution Evaluation'!$A$56:$K$345,9,0)&amp;""</f>
        <v>Standard Importance</v>
      </c>
      <c r="J148" s="4" t="str">
        <f>VLOOKUP($A148,'Institution Evaluation'!$A$56:$K$345,10,0)&amp;""</f>
        <v/>
      </c>
      <c r="K148" s="4">
        <f>IF($I148='Auto Responses'!$J$11,20,IF($I148='Auto Responses'!$J$13,5,10))</f>
        <v>10</v>
      </c>
      <c r="L148" s="107" t="str">
        <f>IF(OR($E148='Auto Responses'!$L$13,$F148=""),'Auto Responses'!$J$5,IF(AND($D148='Auto Responses'!$J$27,$H148=""),'Auto Responses'!$J$5,IF(AND($D148='Auto Responses'!$J$27,$H148='Auto Responses'!$J$7),1,IF(AND($D148='Auto Responses'!$J$27,$H148='Auto Responses'!$J$8),0,IF(OR(AND($F148=$G148,$H148=""),$H148='Auto Responses'!$J$7),1,0)))))</f>
        <v>N/A</v>
      </c>
      <c r="M148" s="4" t="str">
        <f>VLOOKUP($A148,'Institution Evaluation'!$A$56:$K$345,11,0)&amp;""</f>
        <v>FALSE</v>
      </c>
      <c r="N148" s="4">
        <f>IF($J148='Auto Responses'!$J$11,1,IF(AND($J148="",$I148='Auto Responses'!$J$11),1,0))</f>
        <v>0</v>
      </c>
      <c r="O148" s="107" t="str">
        <f>IF(OR($F$17='Auto Responses'!$J$4,$E148='Auto Responses'!$L$13,$F148="",$F148='Auto Responses'!$J$5),'Auto Responses'!$J$5,IF($J148="",$K148,IF($J148='Auto Responses'!$J$13,5,IF($J148='Auto Responses'!$J$12,10,IF($J148='Auto Responses'!$J$11,20,0)))))</f>
        <v>N/A</v>
      </c>
      <c r="P148" s="107" t="str">
        <f>IF(OR($O148='Auto Responses'!$J$5,$L148='Auto Responses'!$J$5),'Auto Responses'!$J$5,$O148*$L148)</f>
        <v>N/A</v>
      </c>
      <c r="Q148" s="107">
        <f t="shared" si="14"/>
        <v>0</v>
      </c>
      <c r="R148" s="107">
        <f t="shared" si="19"/>
        <v>0</v>
      </c>
      <c r="S148" s="107">
        <f t="shared" si="15"/>
        <v>0</v>
      </c>
      <c r="T148" s="107">
        <f t="shared" si="16"/>
        <v>0</v>
      </c>
      <c r="U148" s="107">
        <f t="shared" si="20"/>
        <v>44</v>
      </c>
      <c r="V148" s="107">
        <f t="shared" si="17"/>
        <v>0</v>
      </c>
    </row>
    <row r="149" spans="1:22" ht="57" x14ac:dyDescent="0.2">
      <c r="A149" s="4" t="str">
        <f>Questions!$A149</f>
        <v>DCTR-15</v>
      </c>
      <c r="B149" s="4" t="str">
        <f t="shared" si="18"/>
        <v>DCTR</v>
      </c>
      <c r="C149" s="4" t="str">
        <f>VLOOKUP($A149,Questions!$A$3:$L$333,2,0)&amp;""</f>
        <v>Are you using your cloud provider's available hardening tools or pre-hardened images?</v>
      </c>
      <c r="D149" s="4" t="str">
        <f>VLOOKUP($A149,Questions!$A$3:$L$333,11,0)&amp;""</f>
        <v/>
      </c>
      <c r="E149" s="4" t="str">
        <f>VLOOKUP($A149,Questions!$A$3:$L$333,12,0)&amp;""</f>
        <v>Infrastructure</v>
      </c>
      <c r="F149" s="4" t="str">
        <f>VLOOKUP($A149,'Institution Evaluation'!$A$56:$K$345,3,0)&amp;""</f>
        <v/>
      </c>
      <c r="G149" s="4" t="str">
        <f>VLOOKUP($A149,'Institution Evaluation'!$A$56:$K$345,7,0)&amp;""</f>
        <v>Yes</v>
      </c>
      <c r="H149" s="4" t="str">
        <f>VLOOKUP($A149,'Institution Evaluation'!$A$56:$K$345,8,0)&amp;""</f>
        <v/>
      </c>
      <c r="I149" s="4" t="str">
        <f>VLOOKUP($A149,'Institution Evaluation'!$A$56:$K$345,9,0)&amp;""</f>
        <v>Standard Importance</v>
      </c>
      <c r="J149" s="4" t="str">
        <f>VLOOKUP($A149,'Institution Evaluation'!$A$56:$K$345,10,0)&amp;""</f>
        <v/>
      </c>
      <c r="K149" s="4">
        <f>IF($I149='Auto Responses'!$J$11,20,IF($I149='Auto Responses'!$J$13,5,10))</f>
        <v>10</v>
      </c>
      <c r="L149" s="107" t="str">
        <f>IF(OR($E149='Auto Responses'!$L$13,$F149=""),'Auto Responses'!$J$5,IF(AND($D149='Auto Responses'!$J$27,$H149=""),'Auto Responses'!$J$5,IF(AND($D149='Auto Responses'!$J$27,$H149='Auto Responses'!$J$7),1,IF(AND($D149='Auto Responses'!$J$27,$H149='Auto Responses'!$J$8),0,IF(OR(AND($F149=$G149,$H149=""),$H149='Auto Responses'!$J$7),1,0)))))</f>
        <v>N/A</v>
      </c>
      <c r="M149" s="4" t="str">
        <f>VLOOKUP($A149,'Institution Evaluation'!$A$56:$K$345,11,0)&amp;""</f>
        <v>FALSE</v>
      </c>
      <c r="N149" s="4">
        <f>IF($J149='Auto Responses'!$J$11,1,IF(AND($J149="",$I149='Auto Responses'!$J$11),1,0))</f>
        <v>0</v>
      </c>
      <c r="O149" s="107" t="str">
        <f>IF(OR($F$17='Auto Responses'!$J$4,$E149='Auto Responses'!$L$13,$F149="",$F149='Auto Responses'!$J$5),'Auto Responses'!$J$5,IF($J149="",$K149,IF($J149='Auto Responses'!$J$13,5,IF($J149='Auto Responses'!$J$12,10,IF($J149='Auto Responses'!$J$11,20,0)))))</f>
        <v>N/A</v>
      </c>
      <c r="P149" s="107" t="str">
        <f>IF(OR($O149='Auto Responses'!$J$5,$L149='Auto Responses'!$J$5),'Auto Responses'!$J$5,$O149*$L149)</f>
        <v>N/A</v>
      </c>
      <c r="Q149" s="107">
        <f t="shared" si="14"/>
        <v>0</v>
      </c>
      <c r="R149" s="107">
        <f t="shared" si="19"/>
        <v>0</v>
      </c>
      <c r="S149" s="107">
        <f t="shared" si="15"/>
        <v>0</v>
      </c>
      <c r="T149" s="107">
        <f t="shared" si="16"/>
        <v>0</v>
      </c>
      <c r="U149" s="107">
        <f t="shared" si="20"/>
        <v>44</v>
      </c>
      <c r="V149" s="107">
        <f t="shared" si="17"/>
        <v>0</v>
      </c>
    </row>
    <row r="150" spans="1:22" ht="57" x14ac:dyDescent="0.2">
      <c r="A150" s="4" t="str">
        <f>Questions!$A150</f>
        <v>DCTR-16</v>
      </c>
      <c r="B150" s="4" t="str">
        <f t="shared" si="18"/>
        <v>DCTR</v>
      </c>
      <c r="C150" s="4" t="str">
        <f>VLOOKUP($A150,Questions!$A$3:$L$333,2,0)&amp;""</f>
        <v>Does your cloud solution provider have access to your encryption keys?</v>
      </c>
      <c r="D150" s="4" t="str">
        <f>VLOOKUP($A150,Questions!$A$3:$L$333,11,0)&amp;""</f>
        <v/>
      </c>
      <c r="E150" s="4" t="str">
        <f>VLOOKUP($A150,Questions!$A$3:$L$333,12,0)&amp;""</f>
        <v>Infrastructure</v>
      </c>
      <c r="F150" s="4" t="str">
        <f>VLOOKUP($A150,'Institution Evaluation'!$A$56:$K$345,3,0)&amp;""</f>
        <v/>
      </c>
      <c r="G150" s="4" t="str">
        <f>VLOOKUP($A150,'Institution Evaluation'!$A$56:$K$345,7,0)&amp;""</f>
        <v>No</v>
      </c>
      <c r="H150" s="4" t="str">
        <f>VLOOKUP($A150,'Institution Evaluation'!$A$56:$K$345,8,0)&amp;""</f>
        <v/>
      </c>
      <c r="I150" s="4" t="str">
        <f>VLOOKUP($A150,'Institution Evaluation'!$A$56:$K$345,9,0)&amp;""</f>
        <v>Standard Importance</v>
      </c>
      <c r="J150" s="4" t="str">
        <f>VLOOKUP($A150,'Institution Evaluation'!$A$56:$K$345,10,0)&amp;""</f>
        <v/>
      </c>
      <c r="K150" s="4">
        <f>IF($I150='Auto Responses'!$J$11,20,IF($I150='Auto Responses'!$J$13,5,10))</f>
        <v>10</v>
      </c>
      <c r="L150" s="107" t="str">
        <f>IF(OR($E150='Auto Responses'!$L$13,$F150=""),'Auto Responses'!$J$5,IF(AND($D150='Auto Responses'!$J$27,$H150=""),'Auto Responses'!$J$5,IF(AND($D150='Auto Responses'!$J$27,$H150='Auto Responses'!$J$7),1,IF(AND($D150='Auto Responses'!$J$27,$H150='Auto Responses'!$J$8),0,IF(OR(AND($F150=$G150,$H150=""),$H150='Auto Responses'!$J$7),1,0)))))</f>
        <v>N/A</v>
      </c>
      <c r="M150" s="4" t="str">
        <f>VLOOKUP($A150,'Institution Evaluation'!$A$56:$K$345,11,0)&amp;""</f>
        <v>FALSE</v>
      </c>
      <c r="N150" s="4">
        <f>IF($J150='Auto Responses'!$J$11,1,IF(AND($J150="",$I150='Auto Responses'!$J$11),1,0))</f>
        <v>0</v>
      </c>
      <c r="O150" s="107" t="str">
        <f>IF(OR($F$17='Auto Responses'!$J$4,$E150='Auto Responses'!$L$13,$F150="",$F150='Auto Responses'!$J$5),'Auto Responses'!$J$5,IF($J150="",$K150,IF($J150='Auto Responses'!$J$13,5,IF($J150='Auto Responses'!$J$12,10,IF($J150='Auto Responses'!$J$11,20,0)))))</f>
        <v>N/A</v>
      </c>
      <c r="P150" s="107" t="str">
        <f>IF(OR($O150='Auto Responses'!$J$5,$L150='Auto Responses'!$J$5),'Auto Responses'!$J$5,$O150*$L150)</f>
        <v>N/A</v>
      </c>
      <c r="Q150" s="107">
        <f t="shared" si="14"/>
        <v>0</v>
      </c>
      <c r="R150" s="107">
        <f t="shared" si="19"/>
        <v>0</v>
      </c>
      <c r="S150" s="107">
        <f t="shared" si="15"/>
        <v>0</v>
      </c>
      <c r="T150" s="107">
        <f t="shared" si="16"/>
        <v>0</v>
      </c>
      <c r="U150" s="107">
        <f t="shared" si="20"/>
        <v>44</v>
      </c>
      <c r="V150" s="107">
        <f t="shared" si="17"/>
        <v>0</v>
      </c>
    </row>
    <row r="151" spans="1:22" ht="57" x14ac:dyDescent="0.2">
      <c r="A151" s="4" t="str">
        <f>Questions!$A151</f>
        <v>FIDP-01</v>
      </c>
      <c r="B151" s="4" t="str">
        <f t="shared" si="18"/>
        <v>FIDP</v>
      </c>
      <c r="C151" s="4" t="str">
        <f>VLOOKUP($A151,Questions!$A$3:$L$333,2,0)&amp;""</f>
        <v>Are you utilizing a stateful packet inspection (SPI) firewall?*</v>
      </c>
      <c r="D151" s="4" t="str">
        <f>VLOOKUP($A151,Questions!$A$3:$L$333,11,0)&amp;""</f>
        <v/>
      </c>
      <c r="E151" s="4" t="str">
        <f>VLOOKUP($A151,Questions!$A$3:$L$333,12,0)&amp;""</f>
        <v>Infrastructure</v>
      </c>
      <c r="F151" s="4" t="str">
        <f>VLOOKUP($A151,'Institution Evaluation'!$A$56:$K$345,3,0)&amp;""</f>
        <v/>
      </c>
      <c r="G151" s="4" t="str">
        <f>VLOOKUP($A151,'Institution Evaluation'!$A$56:$K$345,7,0)&amp;""</f>
        <v>Yes</v>
      </c>
      <c r="H151" s="4" t="str">
        <f>VLOOKUP($A151,'Institution Evaluation'!$A$56:$K$345,8,0)&amp;""</f>
        <v/>
      </c>
      <c r="I151" s="4" t="str">
        <f>VLOOKUP($A151,'Institution Evaluation'!$A$56:$K$345,9,0)&amp;""</f>
        <v>Critical Importance</v>
      </c>
      <c r="J151" s="4" t="str">
        <f>VLOOKUP($A151,'Institution Evaluation'!$A$56:$K$345,10,0)&amp;""</f>
        <v/>
      </c>
      <c r="K151" s="4">
        <f>IF($I151='Auto Responses'!$J$11,20,IF($I151='Auto Responses'!$J$13,5,10))</f>
        <v>20</v>
      </c>
      <c r="L151" s="107">
        <f>IF($E151='Auto Responses'!$L$13, 'Auto Responses'!$J$5,IF(AND($D151='Auto Responses'!$J$27,$H151=""),'Auto Responses'!$J$5,IF(AND($D151='Auto Responses'!$J$27,$H151='Auto Responses'!$J$7),1,IF(AND($D151='Auto Responses'!$J$27,$H151='Auto Responses'!$J$8),0,IF(OR(AND($F151=$G151,$H151=""),$H151='Auto Responses'!$J$7),1,0)))))</f>
        <v>0</v>
      </c>
      <c r="M151" s="4" t="str">
        <f>VLOOKUP($A151,'Institution Evaluation'!$A$56:$K$345,11,0)&amp;""</f>
        <v>FALSE</v>
      </c>
      <c r="N151" s="4">
        <f>IF($J151='Auto Responses'!$J$11,1,IF(AND($J151="",$I151='Auto Responses'!$J$11),1,0))</f>
        <v>1</v>
      </c>
      <c r="O151" s="107">
        <f>IF(OR($F$17='Auto Responses'!$J$4,$E151='Auto Responses'!$L$13,$F151='Auto Responses'!$J$5),'Auto Responses'!$J$5,IF($J151="",$K151,IF($J151='Auto Responses'!$J$13,5,IF($J151='Auto Responses'!$J$12,10,IF($J151='Auto Responses'!$J$11,20,0)))))</f>
        <v>20</v>
      </c>
      <c r="P151" s="107">
        <f>IF(OR($O151='Auto Responses'!$J$5,$L151='Auto Responses'!$J$5),'Auto Responses'!$J$5,$O151*$L151)</f>
        <v>0</v>
      </c>
      <c r="Q151" s="107">
        <f t="shared" si="14"/>
        <v>0</v>
      </c>
      <c r="R151" s="107">
        <f t="shared" si="19"/>
        <v>0</v>
      </c>
      <c r="S151" s="107">
        <f t="shared" si="15"/>
        <v>0</v>
      </c>
      <c r="T151" s="107">
        <f t="shared" si="16"/>
        <v>1</v>
      </c>
      <c r="U151" s="107">
        <f t="shared" si="20"/>
        <v>45</v>
      </c>
      <c r="V151" s="107">
        <f t="shared" si="17"/>
        <v>45</v>
      </c>
    </row>
    <row r="152" spans="1:22" ht="57" x14ac:dyDescent="0.2">
      <c r="A152" s="4" t="str">
        <f>Questions!$A152</f>
        <v>FIDP-02</v>
      </c>
      <c r="B152" s="4" t="str">
        <f t="shared" si="18"/>
        <v>FIDP</v>
      </c>
      <c r="C152" s="4" t="str">
        <f>VLOOKUP($A152,Questions!$A$3:$L$333,2,0)&amp;""</f>
        <v>Do you have a documented policy for firewall change requests?*</v>
      </c>
      <c r="D152" s="4" t="str">
        <f>VLOOKUP($A152,Questions!$A$3:$L$333,11,0)&amp;""</f>
        <v/>
      </c>
      <c r="E152" s="4" t="str">
        <f>VLOOKUP($A152,Questions!$A$3:$L$333,12,0)&amp;""</f>
        <v>Infrastructure</v>
      </c>
      <c r="F152" s="4" t="str">
        <f>VLOOKUP($A152,'Institution Evaluation'!$A$56:$K$345,3,0)&amp;""</f>
        <v/>
      </c>
      <c r="G152" s="4" t="str">
        <f>VLOOKUP($A152,'Institution Evaluation'!$A$56:$K$345,7,0)&amp;""</f>
        <v>Yes</v>
      </c>
      <c r="H152" s="4" t="str">
        <f>VLOOKUP($A152,'Institution Evaluation'!$A$56:$K$345,8,0)&amp;""</f>
        <v/>
      </c>
      <c r="I152" s="4" t="str">
        <f>VLOOKUP($A152,'Institution Evaluation'!$A$56:$K$345,9,0)&amp;""</f>
        <v>Critical Importance</v>
      </c>
      <c r="J152" s="4" t="str">
        <f>VLOOKUP($A152,'Institution Evaluation'!$A$56:$K$345,10,0)&amp;""</f>
        <v/>
      </c>
      <c r="K152" s="4">
        <f>IF($I152='Auto Responses'!$J$11,20,IF($I152='Auto Responses'!$J$13,5,10))</f>
        <v>20</v>
      </c>
      <c r="L152" s="107">
        <f>IF($E152='Auto Responses'!$L$13, 'Auto Responses'!$J$5,IF(AND($D152='Auto Responses'!$J$27,$H152=""),'Auto Responses'!$J$5,IF(AND($D152='Auto Responses'!$J$27,$H152='Auto Responses'!$J$7),1,IF(AND($D152='Auto Responses'!$J$27,$H152='Auto Responses'!$J$8),0,IF(OR(AND($F152=$G152,$H152=""),$H152='Auto Responses'!$J$7),1,0)))))</f>
        <v>0</v>
      </c>
      <c r="M152" s="4" t="str">
        <f>VLOOKUP($A152,'Institution Evaluation'!$A$56:$K$345,11,0)&amp;""</f>
        <v>FALSE</v>
      </c>
      <c r="N152" s="4">
        <f>IF($J152='Auto Responses'!$J$11,1,IF(AND($J152="",$I152='Auto Responses'!$J$11),1,0))</f>
        <v>1</v>
      </c>
      <c r="O152" s="107">
        <f>IF(OR($F$17='Auto Responses'!$J$4,$E152='Auto Responses'!$L$13,$F152='Auto Responses'!$J$5),'Auto Responses'!$J$5,IF($J152="",$K152,IF($J152='Auto Responses'!$J$13,5,IF($J152='Auto Responses'!$J$12,10,IF($J152='Auto Responses'!$J$11,20,0)))))</f>
        <v>20</v>
      </c>
      <c r="P152" s="107">
        <f>IF(OR($O152='Auto Responses'!$J$5,$L152='Auto Responses'!$J$5),'Auto Responses'!$J$5,$O152*$L152)</f>
        <v>0</v>
      </c>
      <c r="Q152" s="107">
        <f t="shared" si="14"/>
        <v>0</v>
      </c>
      <c r="R152" s="107">
        <f t="shared" si="19"/>
        <v>0</v>
      </c>
      <c r="S152" s="107">
        <f t="shared" si="15"/>
        <v>0</v>
      </c>
      <c r="T152" s="107">
        <f t="shared" si="16"/>
        <v>1</v>
      </c>
      <c r="U152" s="107">
        <f t="shared" si="20"/>
        <v>46</v>
      </c>
      <c r="V152" s="107">
        <f t="shared" si="17"/>
        <v>46</v>
      </c>
    </row>
    <row r="153" spans="1:22" ht="57" x14ac:dyDescent="0.2">
      <c r="A153" s="4" t="str">
        <f>Questions!$A153</f>
        <v>FIDP-03</v>
      </c>
      <c r="B153" s="4" t="str">
        <f t="shared" si="18"/>
        <v>FIDP</v>
      </c>
      <c r="C153" s="4" t="str">
        <f>VLOOKUP($A153,Questions!$A$3:$L$333,2,0)&amp;""</f>
        <v>Have you implemented an intrusion detection system (network-based)?*</v>
      </c>
      <c r="D153" s="4" t="str">
        <f>VLOOKUP($A153,Questions!$A$3:$L$333,11,0)&amp;""</f>
        <v/>
      </c>
      <c r="E153" s="4" t="str">
        <f>VLOOKUP($A153,Questions!$A$3:$L$333,12,0)&amp;""</f>
        <v>Infrastructure</v>
      </c>
      <c r="F153" s="4" t="str">
        <f>VLOOKUP($A153,'Institution Evaluation'!$A$56:$K$345,3,0)&amp;""</f>
        <v/>
      </c>
      <c r="G153" s="4" t="str">
        <f>VLOOKUP($A153,'Institution Evaluation'!$A$56:$K$345,7,0)&amp;""</f>
        <v>Yes</v>
      </c>
      <c r="H153" s="4" t="str">
        <f>VLOOKUP($A153,'Institution Evaluation'!$A$56:$K$345,8,0)&amp;""</f>
        <v/>
      </c>
      <c r="I153" s="4" t="str">
        <f>VLOOKUP($A153,'Institution Evaluation'!$A$56:$K$345,9,0)&amp;""</f>
        <v>Critical Importance</v>
      </c>
      <c r="J153" s="4" t="str">
        <f>VLOOKUP($A153,'Institution Evaluation'!$A$56:$K$345,10,0)&amp;""</f>
        <v/>
      </c>
      <c r="K153" s="4">
        <f>IF($I153='Auto Responses'!$J$11,20,IF($I153='Auto Responses'!$J$13,5,10))</f>
        <v>20</v>
      </c>
      <c r="L153" s="107">
        <f>IF($E153='Auto Responses'!$L$13, 'Auto Responses'!$J$5,IF(AND($D153='Auto Responses'!$J$27,$H153=""),'Auto Responses'!$J$5,IF(AND($D153='Auto Responses'!$J$27,$H153='Auto Responses'!$J$7),1,IF(AND($D153='Auto Responses'!$J$27,$H153='Auto Responses'!$J$8),0,IF(OR(AND($F153=$G153,$H153=""),$H153='Auto Responses'!$J$7),1,0)))))</f>
        <v>0</v>
      </c>
      <c r="M153" s="4" t="str">
        <f>VLOOKUP($A153,'Institution Evaluation'!$A$56:$K$345,11,0)&amp;""</f>
        <v>FALSE</v>
      </c>
      <c r="N153" s="4">
        <f>IF($J153='Auto Responses'!$J$11,1,IF(AND($J153="",$I153='Auto Responses'!$J$11),1,0))</f>
        <v>1</v>
      </c>
      <c r="O153" s="107">
        <f>IF(OR($F$17='Auto Responses'!$J$4,$E153='Auto Responses'!$L$13,$F153='Auto Responses'!$J$5),'Auto Responses'!$J$5,IF($J153="",$K153,IF($J153='Auto Responses'!$J$13,5,IF($J153='Auto Responses'!$J$12,10,IF($J153='Auto Responses'!$J$11,20,0)))))</f>
        <v>20</v>
      </c>
      <c r="P153" s="107">
        <f>IF(OR($O153='Auto Responses'!$J$5,$L153='Auto Responses'!$J$5),'Auto Responses'!$J$5,$O153*$L153)</f>
        <v>0</v>
      </c>
      <c r="Q153" s="107">
        <f t="shared" si="14"/>
        <v>0</v>
      </c>
      <c r="R153" s="107">
        <f t="shared" si="19"/>
        <v>0</v>
      </c>
      <c r="S153" s="107">
        <f t="shared" si="15"/>
        <v>0</v>
      </c>
      <c r="T153" s="107">
        <f t="shared" si="16"/>
        <v>1</v>
      </c>
      <c r="U153" s="107">
        <f t="shared" si="20"/>
        <v>47</v>
      </c>
      <c r="V153" s="107">
        <f t="shared" si="17"/>
        <v>47</v>
      </c>
    </row>
    <row r="154" spans="1:22" ht="57" x14ac:dyDescent="0.2">
      <c r="A154" s="4" t="str">
        <f>Questions!$A154</f>
        <v>FIDP-04</v>
      </c>
      <c r="B154" s="4" t="str">
        <f t="shared" si="18"/>
        <v>FIDP</v>
      </c>
      <c r="C154" s="4" t="str">
        <f>VLOOKUP($A154,Questions!$A$3:$L$333,2,0)&amp;""</f>
        <v>Do you employ host-based intrusion detection?*</v>
      </c>
      <c r="D154" s="4" t="str">
        <f>VLOOKUP($A154,Questions!$A$3:$L$333,11,0)&amp;""</f>
        <v/>
      </c>
      <c r="E154" s="4" t="str">
        <f>VLOOKUP($A154,Questions!$A$3:$L$333,12,0)&amp;""</f>
        <v>Infrastructure</v>
      </c>
      <c r="F154" s="4" t="str">
        <f>VLOOKUP($A154,'Institution Evaluation'!$A$56:$K$345,3,0)&amp;""</f>
        <v/>
      </c>
      <c r="G154" s="4" t="str">
        <f>VLOOKUP($A154,'Institution Evaluation'!$A$56:$K$345,7,0)&amp;""</f>
        <v>Yes</v>
      </c>
      <c r="H154" s="4" t="str">
        <f>VLOOKUP($A154,'Institution Evaluation'!$A$56:$K$345,8,0)&amp;""</f>
        <v/>
      </c>
      <c r="I154" s="4" t="str">
        <f>VLOOKUP($A154,'Institution Evaluation'!$A$56:$K$345,9,0)&amp;""</f>
        <v>Critical Importance</v>
      </c>
      <c r="J154" s="4" t="str">
        <f>VLOOKUP($A154,'Institution Evaluation'!$A$56:$K$345,10,0)&amp;""</f>
        <v/>
      </c>
      <c r="K154" s="4">
        <f>IF($I154='Auto Responses'!$J$11,20,IF($I154='Auto Responses'!$J$13,5,10))</f>
        <v>20</v>
      </c>
      <c r="L154" s="107">
        <f>IF($E154='Auto Responses'!$L$13, 'Auto Responses'!$J$5,IF(AND($D154='Auto Responses'!$J$27,$H154=""),'Auto Responses'!$J$5,IF(AND($D154='Auto Responses'!$J$27,$H154='Auto Responses'!$J$7),1,IF(AND($D154='Auto Responses'!$J$27,$H154='Auto Responses'!$J$8),0,IF(OR(AND($F154=$G154,$H154=""),$H154='Auto Responses'!$J$7),1,0)))))</f>
        <v>0</v>
      </c>
      <c r="M154" s="4" t="str">
        <f>VLOOKUP($A154,'Institution Evaluation'!$A$56:$K$345,11,0)&amp;""</f>
        <v>FALSE</v>
      </c>
      <c r="N154" s="4">
        <f>IF($J154='Auto Responses'!$J$11,1,IF(AND($J154="",$I154='Auto Responses'!$J$11),1,0))</f>
        <v>1</v>
      </c>
      <c r="O154" s="107">
        <f>IF(OR($F$17='Auto Responses'!$J$4,$E154='Auto Responses'!$L$13,$F154='Auto Responses'!$J$5),'Auto Responses'!$J$5,IF($J154="",$K154,IF($J154='Auto Responses'!$J$13,5,IF($J154='Auto Responses'!$J$12,10,IF($J154='Auto Responses'!$J$11,20,0)))))</f>
        <v>20</v>
      </c>
      <c r="P154" s="107">
        <f>IF(OR($O154='Auto Responses'!$J$5,$L154='Auto Responses'!$J$5),'Auto Responses'!$J$5,$O154*$L154)</f>
        <v>0</v>
      </c>
      <c r="Q154" s="107">
        <f t="shared" si="14"/>
        <v>0</v>
      </c>
      <c r="R154" s="107">
        <f t="shared" si="19"/>
        <v>0</v>
      </c>
      <c r="S154" s="107">
        <f t="shared" si="15"/>
        <v>0</v>
      </c>
      <c r="T154" s="107">
        <f t="shared" si="16"/>
        <v>1</v>
      </c>
      <c r="U154" s="107">
        <f t="shared" si="20"/>
        <v>48</v>
      </c>
      <c r="V154" s="107">
        <f t="shared" si="17"/>
        <v>48</v>
      </c>
    </row>
    <row r="155" spans="1:22" ht="57" x14ac:dyDescent="0.2">
      <c r="A155" s="4" t="str">
        <f>Questions!$A155</f>
        <v>FIDP-05</v>
      </c>
      <c r="B155" s="4" t="str">
        <f t="shared" si="18"/>
        <v>FIDP</v>
      </c>
      <c r="C155" s="4" t="str">
        <f>VLOOKUP($A155,Questions!$A$3:$L$333,2,0)&amp;""</f>
        <v>Are audit logs available for all changes to the network, firewall, IDS, and IPS systems?*</v>
      </c>
      <c r="D155" s="4" t="str">
        <f>VLOOKUP($A155,Questions!$A$3:$L$333,11,0)&amp;""</f>
        <v/>
      </c>
      <c r="E155" s="4" t="str">
        <f>VLOOKUP($A155,Questions!$A$3:$L$333,12,0)&amp;""</f>
        <v>Infrastructure</v>
      </c>
      <c r="F155" s="4" t="str">
        <f>VLOOKUP($A155,'Institution Evaluation'!$A$56:$K$345,3,0)&amp;""</f>
        <v/>
      </c>
      <c r="G155" s="4" t="str">
        <f>VLOOKUP($A155,'Institution Evaluation'!$A$56:$K$345,7,0)&amp;""</f>
        <v>Yes</v>
      </c>
      <c r="H155" s="4" t="str">
        <f>VLOOKUP($A155,'Institution Evaluation'!$A$56:$K$345,8,0)&amp;""</f>
        <v/>
      </c>
      <c r="I155" s="4" t="str">
        <f>VLOOKUP($A155,'Institution Evaluation'!$A$56:$K$345,9,0)&amp;""</f>
        <v>Critical Importance</v>
      </c>
      <c r="J155" s="4" t="str">
        <f>VLOOKUP($A155,'Institution Evaluation'!$A$56:$K$345,10,0)&amp;""</f>
        <v/>
      </c>
      <c r="K155" s="4">
        <f>IF($I155='Auto Responses'!$J$11,20,IF($I155='Auto Responses'!$J$13,5,10))</f>
        <v>20</v>
      </c>
      <c r="L155" s="107">
        <f>IF($E155='Auto Responses'!$L$13, 'Auto Responses'!$J$5,IF(AND($D155='Auto Responses'!$J$27,$H155=""),'Auto Responses'!$J$5,IF(AND($D155='Auto Responses'!$J$27,$H155='Auto Responses'!$J$7),1,IF(AND($D155='Auto Responses'!$J$27,$H155='Auto Responses'!$J$8),0,IF(OR(AND($F155=$G155,$H155=""),$H155='Auto Responses'!$J$7),1,0)))))</f>
        <v>0</v>
      </c>
      <c r="M155" s="4" t="str">
        <f>VLOOKUP($A155,'Institution Evaluation'!$A$56:$K$345,11,0)&amp;""</f>
        <v>FALSE</v>
      </c>
      <c r="N155" s="4">
        <f>IF($J155='Auto Responses'!$J$11,1,IF(AND($J155="",$I155='Auto Responses'!$J$11),1,0))</f>
        <v>1</v>
      </c>
      <c r="O155" s="107">
        <f>IF(OR($F$17='Auto Responses'!$J$4,$E155='Auto Responses'!$L$13,$F155='Auto Responses'!$J$5),'Auto Responses'!$J$5,IF($J155="",$K155,IF($J155='Auto Responses'!$J$13,5,IF($J155='Auto Responses'!$J$12,10,IF($J155='Auto Responses'!$J$11,20,0)))))</f>
        <v>20</v>
      </c>
      <c r="P155" s="107">
        <f>IF(OR($O155='Auto Responses'!$J$5,$L155='Auto Responses'!$J$5),'Auto Responses'!$J$5,$O155*$L155)</f>
        <v>0</v>
      </c>
      <c r="Q155" s="107">
        <f t="shared" si="14"/>
        <v>0</v>
      </c>
      <c r="R155" s="107">
        <f t="shared" si="19"/>
        <v>0</v>
      </c>
      <c r="S155" s="107">
        <f t="shared" si="15"/>
        <v>0</v>
      </c>
      <c r="T155" s="107">
        <f t="shared" si="16"/>
        <v>1</v>
      </c>
      <c r="U155" s="107">
        <f t="shared" si="20"/>
        <v>49</v>
      </c>
      <c r="V155" s="107">
        <f t="shared" si="17"/>
        <v>49</v>
      </c>
    </row>
    <row r="156" spans="1:22" ht="57" x14ac:dyDescent="0.2">
      <c r="A156" s="4" t="str">
        <f>Questions!$A156</f>
        <v>FIDP-06</v>
      </c>
      <c r="B156" s="4" t="str">
        <f t="shared" si="18"/>
        <v>FIDP</v>
      </c>
      <c r="C156" s="4" t="str">
        <f>VLOOKUP($A156,Questions!$A$3:$L$333,2,0)&amp;""</f>
        <v>Is authority for firewall change approval documented? Please list approver names or titles in Additional Info.</v>
      </c>
      <c r="D156" s="4" t="str">
        <f>VLOOKUP($A156,Questions!$A$3:$L$333,11,0)&amp;""</f>
        <v/>
      </c>
      <c r="E156" s="4" t="str">
        <f>VLOOKUP($A156,Questions!$A$3:$L$333,12,0)&amp;""</f>
        <v>Infrastructure</v>
      </c>
      <c r="F156" s="4" t="str">
        <f>VLOOKUP($A156,'Institution Evaluation'!$A$56:$K$345,3,0)&amp;""</f>
        <v/>
      </c>
      <c r="G156" s="4" t="str">
        <f>VLOOKUP($A156,'Institution Evaluation'!$A$56:$K$345,7,0)&amp;""</f>
        <v>Yes</v>
      </c>
      <c r="H156" s="4" t="str">
        <f>VLOOKUP($A156,'Institution Evaluation'!$A$56:$K$345,8,0)&amp;""</f>
        <v/>
      </c>
      <c r="I156" s="4" t="str">
        <f>VLOOKUP($A156,'Institution Evaluation'!$A$56:$K$345,9,0)&amp;""</f>
        <v>Standard Importance</v>
      </c>
      <c r="J156" s="4" t="str">
        <f>VLOOKUP($A156,'Institution Evaluation'!$A$56:$K$345,10,0)&amp;""</f>
        <v/>
      </c>
      <c r="K156" s="4">
        <f>IF($I156='Auto Responses'!$J$11,20,IF($I156='Auto Responses'!$J$13,5,10))</f>
        <v>10</v>
      </c>
      <c r="L156" s="107">
        <f>IF($E156='Auto Responses'!$L$13, 'Auto Responses'!$J$5,IF(AND($D156='Auto Responses'!$J$27,$H156=""),'Auto Responses'!$J$5,IF(AND($D156='Auto Responses'!$J$27,$H156='Auto Responses'!$J$7),1,IF(AND($D156='Auto Responses'!$J$27,$H156='Auto Responses'!$J$8),0,IF(OR(AND($F156=$G156,$H156=""),$H156='Auto Responses'!$J$7),1,0)))))</f>
        <v>0</v>
      </c>
      <c r="M156" s="4" t="str">
        <f>VLOOKUP($A156,'Institution Evaluation'!$A$56:$K$345,11,0)&amp;""</f>
        <v>FALSE</v>
      </c>
      <c r="N156" s="4">
        <f>IF($J156='Auto Responses'!$J$11,1,IF(AND($J156="",$I156='Auto Responses'!$J$11),1,0))</f>
        <v>0</v>
      </c>
      <c r="O156" s="107">
        <f>IF(OR($F$17='Auto Responses'!$J$4,$E156='Auto Responses'!$L$13,$F156='Auto Responses'!$J$5),'Auto Responses'!$J$5,IF($J156="",$K156,IF($J156='Auto Responses'!$J$13,5,IF($J156='Auto Responses'!$J$12,10,IF($J156='Auto Responses'!$J$11,20,0)))))</f>
        <v>10</v>
      </c>
      <c r="P156" s="107">
        <f>IF(OR($O156='Auto Responses'!$J$5,$L156='Auto Responses'!$J$5),'Auto Responses'!$J$5,$O156*$L156)</f>
        <v>0</v>
      </c>
      <c r="Q156" s="107">
        <f t="shared" si="14"/>
        <v>0</v>
      </c>
      <c r="R156" s="107">
        <f t="shared" si="19"/>
        <v>0</v>
      </c>
      <c r="S156" s="107">
        <f t="shared" si="15"/>
        <v>0</v>
      </c>
      <c r="T156" s="107">
        <f t="shared" si="16"/>
        <v>0</v>
      </c>
      <c r="U156" s="107">
        <f t="shared" si="20"/>
        <v>49</v>
      </c>
      <c r="V156" s="107">
        <f t="shared" si="17"/>
        <v>0</v>
      </c>
    </row>
    <row r="157" spans="1:22" ht="57" x14ac:dyDescent="0.2">
      <c r="A157" s="4" t="str">
        <f>Questions!$A157</f>
        <v>FIDP-07</v>
      </c>
      <c r="B157" s="4" t="str">
        <f t="shared" si="18"/>
        <v>FIDP</v>
      </c>
      <c r="C157" s="4" t="str">
        <f>VLOOKUP($A157,Questions!$A$3:$L$333,2,0)&amp;""</f>
        <v>Have you implemented an intrusion prevention system (network-based)?</v>
      </c>
      <c r="D157" s="4" t="str">
        <f>VLOOKUP($A157,Questions!$A$3:$L$333,11,0)&amp;""</f>
        <v/>
      </c>
      <c r="E157" s="4" t="str">
        <f>VLOOKUP($A157,Questions!$A$3:$L$333,12,0)&amp;""</f>
        <v>Infrastructure</v>
      </c>
      <c r="F157" s="4" t="str">
        <f>VLOOKUP($A157,'Institution Evaluation'!$A$56:$K$345,3,0)&amp;""</f>
        <v/>
      </c>
      <c r="G157" s="4" t="str">
        <f>VLOOKUP($A157,'Institution Evaluation'!$A$56:$K$345,7,0)&amp;""</f>
        <v>Yes</v>
      </c>
      <c r="H157" s="4" t="str">
        <f>VLOOKUP($A157,'Institution Evaluation'!$A$56:$K$345,8,0)&amp;""</f>
        <v/>
      </c>
      <c r="I157" s="4" t="str">
        <f>VLOOKUP($A157,'Institution Evaluation'!$A$56:$K$345,9,0)&amp;""</f>
        <v>Standard Importance</v>
      </c>
      <c r="J157" s="4" t="str">
        <f>VLOOKUP($A157,'Institution Evaluation'!$A$56:$K$345,10,0)&amp;""</f>
        <v/>
      </c>
      <c r="K157" s="4">
        <f>IF($I157='Auto Responses'!$J$11,20,IF($I157='Auto Responses'!$J$13,5,10))</f>
        <v>10</v>
      </c>
      <c r="L157" s="107">
        <f>IF($E157='Auto Responses'!$L$13, 'Auto Responses'!$J$5,IF(AND($D157='Auto Responses'!$J$27,$H157=""),'Auto Responses'!$J$5,IF(AND($D157='Auto Responses'!$J$27,$H157='Auto Responses'!$J$7),1,IF(AND($D157='Auto Responses'!$J$27,$H157='Auto Responses'!$J$8),0,IF(OR(AND($F157=$G157,$H157=""),$H157='Auto Responses'!$J$7),1,0)))))</f>
        <v>0</v>
      </c>
      <c r="M157" s="4" t="str">
        <f>VLOOKUP($A157,'Institution Evaluation'!$A$56:$K$345,11,0)&amp;""</f>
        <v>FALSE</v>
      </c>
      <c r="N157" s="4">
        <f>IF($J157='Auto Responses'!$J$11,1,IF(AND($J157="",$I157='Auto Responses'!$J$11),1,0))</f>
        <v>0</v>
      </c>
      <c r="O157" s="107">
        <f>IF(OR($F$17='Auto Responses'!$J$4,$E157='Auto Responses'!$L$13,$F157='Auto Responses'!$J$5),'Auto Responses'!$J$5,IF($J157="",$K157,IF($J157='Auto Responses'!$J$13,5,IF($J157='Auto Responses'!$J$12,10,IF($J157='Auto Responses'!$J$11,20,0)))))</f>
        <v>10</v>
      </c>
      <c r="P157" s="107">
        <f>IF(OR($O157='Auto Responses'!$J$5,$L157='Auto Responses'!$J$5),'Auto Responses'!$J$5,$O157*$L157)</f>
        <v>0</v>
      </c>
      <c r="Q157" s="107">
        <f t="shared" si="14"/>
        <v>0</v>
      </c>
      <c r="R157" s="107">
        <f t="shared" si="19"/>
        <v>0</v>
      </c>
      <c r="S157" s="107">
        <f t="shared" si="15"/>
        <v>0</v>
      </c>
      <c r="T157" s="107">
        <f t="shared" si="16"/>
        <v>0</v>
      </c>
      <c r="U157" s="107">
        <f t="shared" si="20"/>
        <v>49</v>
      </c>
      <c r="V157" s="107">
        <f t="shared" si="17"/>
        <v>0</v>
      </c>
    </row>
    <row r="158" spans="1:22" ht="57" x14ac:dyDescent="0.2">
      <c r="A158" s="4" t="str">
        <f>Questions!$A158</f>
        <v>FIDP-08</v>
      </c>
      <c r="B158" s="4" t="str">
        <f t="shared" si="18"/>
        <v>FIDP</v>
      </c>
      <c r="C158" s="4" t="str">
        <f>VLOOKUP($A158,Questions!$A$3:$L$333,2,0)&amp;""</f>
        <v>Do you employ host-based intrusion prevention?</v>
      </c>
      <c r="D158" s="4" t="str">
        <f>VLOOKUP($A158,Questions!$A$3:$L$333,11,0)&amp;""</f>
        <v/>
      </c>
      <c r="E158" s="4" t="str">
        <f>VLOOKUP($A158,Questions!$A$3:$L$333,12,0)&amp;""</f>
        <v>Infrastructure</v>
      </c>
      <c r="F158" s="4" t="str">
        <f>VLOOKUP($A158,'Institution Evaluation'!$A$56:$K$345,3,0)&amp;""</f>
        <v/>
      </c>
      <c r="G158" s="4" t="str">
        <f>VLOOKUP($A158,'Institution Evaluation'!$A$56:$K$345,7,0)&amp;""</f>
        <v>Yes</v>
      </c>
      <c r="H158" s="4" t="str">
        <f>VLOOKUP($A158,'Institution Evaluation'!$A$56:$K$345,8,0)&amp;""</f>
        <v/>
      </c>
      <c r="I158" s="4" t="str">
        <f>VLOOKUP($A158,'Institution Evaluation'!$A$56:$K$345,9,0)&amp;""</f>
        <v>Standard Importance</v>
      </c>
      <c r="J158" s="4" t="str">
        <f>VLOOKUP($A158,'Institution Evaluation'!$A$56:$K$345,10,0)&amp;""</f>
        <v/>
      </c>
      <c r="K158" s="4">
        <f>IF($I158='Auto Responses'!$J$11,20,IF($I158='Auto Responses'!$J$13,5,10))</f>
        <v>10</v>
      </c>
      <c r="L158" s="107">
        <f>IF($E158='Auto Responses'!$L$13, 'Auto Responses'!$J$5,IF(AND($D158='Auto Responses'!$J$27,$H158=""),'Auto Responses'!$J$5,IF(AND($D158='Auto Responses'!$J$27,$H158='Auto Responses'!$J$7),1,IF(AND($D158='Auto Responses'!$J$27,$H158='Auto Responses'!$J$8),0,IF(OR(AND($F158=$G158,$H158=""),$H158='Auto Responses'!$J$7),1,0)))))</f>
        <v>0</v>
      </c>
      <c r="M158" s="4" t="str">
        <f>VLOOKUP($A158,'Institution Evaluation'!$A$56:$K$345,11,0)&amp;""</f>
        <v>FALSE</v>
      </c>
      <c r="N158" s="4">
        <f>IF($J158='Auto Responses'!$J$11,1,IF(AND($J158="",$I158='Auto Responses'!$J$11),1,0))</f>
        <v>0</v>
      </c>
      <c r="O158" s="107">
        <f>IF(OR($F$17='Auto Responses'!$J$4,$E158='Auto Responses'!$L$13,$F158='Auto Responses'!$J$5),'Auto Responses'!$J$5,IF($J158="",$K158,IF($J158='Auto Responses'!$J$13,5,IF($J158='Auto Responses'!$J$12,10,IF($J158='Auto Responses'!$J$11,20,0)))))</f>
        <v>10</v>
      </c>
      <c r="P158" s="107">
        <f>IF(OR($O158='Auto Responses'!$J$5,$L158='Auto Responses'!$J$5),'Auto Responses'!$J$5,$O158*$L158)</f>
        <v>0</v>
      </c>
      <c r="Q158" s="107">
        <f t="shared" si="14"/>
        <v>0</v>
      </c>
      <c r="R158" s="107">
        <f t="shared" si="19"/>
        <v>0</v>
      </c>
      <c r="S158" s="107">
        <f t="shared" si="15"/>
        <v>0</v>
      </c>
      <c r="T158" s="107">
        <f t="shared" si="16"/>
        <v>0</v>
      </c>
      <c r="U158" s="107">
        <f t="shared" si="20"/>
        <v>49</v>
      </c>
      <c r="V158" s="107">
        <f t="shared" si="17"/>
        <v>0</v>
      </c>
    </row>
    <row r="159" spans="1:22" ht="57" x14ac:dyDescent="0.2">
      <c r="A159" s="4" t="str">
        <f>Questions!$A159</f>
        <v>FIDP-09</v>
      </c>
      <c r="B159" s="4" t="str">
        <f t="shared" si="18"/>
        <v>FIDP</v>
      </c>
      <c r="C159" s="4" t="str">
        <f>VLOOKUP($A159,Questions!$A$3:$L$333,2,0)&amp;""</f>
        <v>Are you employing any next-generation persistent threat (NGPT) monitoring?</v>
      </c>
      <c r="D159" s="4" t="str">
        <f>VLOOKUP($A159,Questions!$A$3:$L$333,11,0)&amp;""</f>
        <v/>
      </c>
      <c r="E159" s="4" t="str">
        <f>VLOOKUP($A159,Questions!$A$3:$L$333,12,0)&amp;""</f>
        <v>Infrastructure</v>
      </c>
      <c r="F159" s="4" t="str">
        <f>VLOOKUP($A159,'Institution Evaluation'!$A$56:$K$345,3,0)&amp;""</f>
        <v/>
      </c>
      <c r="G159" s="4" t="str">
        <f>VLOOKUP($A159,'Institution Evaluation'!$A$56:$K$345,7,0)&amp;""</f>
        <v>Yes</v>
      </c>
      <c r="H159" s="4" t="str">
        <f>VLOOKUP($A159,'Institution Evaluation'!$A$56:$K$345,8,0)&amp;""</f>
        <v/>
      </c>
      <c r="I159" s="4" t="str">
        <f>VLOOKUP($A159,'Institution Evaluation'!$A$56:$K$345,9,0)&amp;""</f>
        <v>Standard Importance</v>
      </c>
      <c r="J159" s="4" t="str">
        <f>VLOOKUP($A159,'Institution Evaluation'!$A$56:$K$345,10,0)&amp;""</f>
        <v/>
      </c>
      <c r="K159" s="4">
        <f>IF($I159='Auto Responses'!$J$11,20,IF($I159='Auto Responses'!$J$13,5,10))</f>
        <v>10</v>
      </c>
      <c r="L159" s="107">
        <f>IF($E159='Auto Responses'!$L$13, 'Auto Responses'!$J$5,IF(AND($D159='Auto Responses'!$J$27,$H159=""),'Auto Responses'!$J$5,IF(AND($D159='Auto Responses'!$J$27,$H159='Auto Responses'!$J$7),1,IF(AND($D159='Auto Responses'!$J$27,$H159='Auto Responses'!$J$8),0,IF(OR(AND($F159=$G159,$H159=""),$H159='Auto Responses'!$J$7),1,0)))))</f>
        <v>0</v>
      </c>
      <c r="M159" s="4" t="str">
        <f>VLOOKUP($A159,'Institution Evaluation'!$A$56:$K$345,11,0)&amp;""</f>
        <v>FALSE</v>
      </c>
      <c r="N159" s="4">
        <f>IF($J159='Auto Responses'!$J$11,1,IF(AND($J159="",$I159='Auto Responses'!$J$11),1,0))</f>
        <v>0</v>
      </c>
      <c r="O159" s="107">
        <f>IF(OR($F$17='Auto Responses'!$J$4,$E159='Auto Responses'!$L$13,$F159='Auto Responses'!$J$5),'Auto Responses'!$J$5,IF($J159="",$K159,IF($J159='Auto Responses'!$J$13,5,IF($J159='Auto Responses'!$J$12,10,IF($J159='Auto Responses'!$J$11,20,0)))))</f>
        <v>10</v>
      </c>
      <c r="P159" s="107">
        <f>IF(OR($O159='Auto Responses'!$J$5,$L159='Auto Responses'!$J$5),'Auto Responses'!$J$5,$O159*$L159)</f>
        <v>0</v>
      </c>
      <c r="Q159" s="107">
        <f t="shared" si="14"/>
        <v>0</v>
      </c>
      <c r="R159" s="107">
        <f t="shared" si="19"/>
        <v>0</v>
      </c>
      <c r="S159" s="107">
        <f t="shared" si="15"/>
        <v>0</v>
      </c>
      <c r="T159" s="107">
        <f t="shared" si="16"/>
        <v>0</v>
      </c>
      <c r="U159" s="107">
        <f t="shared" si="20"/>
        <v>49</v>
      </c>
      <c r="V159" s="107">
        <f t="shared" si="17"/>
        <v>0</v>
      </c>
    </row>
    <row r="160" spans="1:22" ht="57" x14ac:dyDescent="0.2">
      <c r="A160" s="4" t="str">
        <f>Questions!$A160</f>
        <v>FIDP-10</v>
      </c>
      <c r="B160" s="4" t="str">
        <f t="shared" si="18"/>
        <v>FIDP</v>
      </c>
      <c r="C160" s="4" t="str">
        <f>VLOOKUP($A160,Questions!$A$3:$L$333,2,0)&amp;""</f>
        <v>Is intrusion monitoring performed internally or by a third-party service?</v>
      </c>
      <c r="D160" s="4" t="str">
        <f>VLOOKUP($A160,Questions!$A$3:$L$333,11,0)&amp;""</f>
        <v/>
      </c>
      <c r="E160" s="4" t="str">
        <f>VLOOKUP($A160,Questions!$A$3:$L$333,12,0)&amp;""</f>
        <v>Not scored</v>
      </c>
      <c r="F160" s="4" t="str">
        <f>VLOOKUP($A160,'Institution Evaluation'!$A$56:$K$345,3,0)&amp;""</f>
        <v/>
      </c>
      <c r="G160" s="4" t="str">
        <f>VLOOKUP($A160,'Institution Evaluation'!$A$56:$K$345,7,0)&amp;""</f>
        <v>Not scored</v>
      </c>
      <c r="H160" s="4" t="str">
        <f>VLOOKUP($A160,'Institution Evaluation'!$A$56:$K$345,8,0)&amp;""</f>
        <v/>
      </c>
      <c r="I160" s="4" t="str">
        <f>VLOOKUP($A160,'Institution Evaluation'!$A$56:$K$345,9,0)&amp;""</f>
        <v/>
      </c>
      <c r="J160" s="4" t="str">
        <f>VLOOKUP($A160,'Institution Evaluation'!$A$56:$K$345,10,0)&amp;""</f>
        <v/>
      </c>
      <c r="K160" s="4">
        <f>IF($I160='Auto Responses'!$J$11,20,IF($I160='Auto Responses'!$J$13,5,10))</f>
        <v>10</v>
      </c>
      <c r="L160" s="107" t="str">
        <f>IF($E160='Auto Responses'!$L$13, 'Auto Responses'!$J$5,IF(AND($D160='Auto Responses'!$J$27,$H160=""),'Auto Responses'!$J$5,IF(AND($D160='Auto Responses'!$J$27,$H160='Auto Responses'!$J$7),1,IF(AND($D160='Auto Responses'!$J$27,$H160='Auto Responses'!$J$8),0,IF(OR(AND($F160=$G160,$H160=""),$H160='Auto Responses'!$J$7),1,0)))))</f>
        <v>N/A</v>
      </c>
      <c r="M160" s="4" t="str">
        <f>VLOOKUP($A160,'Institution Evaluation'!$A$56:$K$345,11,0)&amp;""</f>
        <v>FALSE</v>
      </c>
      <c r="N160" s="4">
        <f>IF($J160='Auto Responses'!$J$11,1,IF(AND($J160="",$I160='Auto Responses'!$J$11),1,0))</f>
        <v>0</v>
      </c>
      <c r="O160" s="107" t="str">
        <f>IF(OR($F$17='Auto Responses'!$J$4,$E160='Auto Responses'!$L$13,$F160='Auto Responses'!$J$5),'Auto Responses'!$J$5,IF($J160="",$K160,IF($J160='Auto Responses'!$J$13,5,IF($J160='Auto Responses'!$J$12,10,IF($J160='Auto Responses'!$J$11,20,0)))))</f>
        <v>N/A</v>
      </c>
      <c r="P160" s="107" t="str">
        <f>IF(OR($O160='Auto Responses'!$J$5,$L160='Auto Responses'!$J$5),'Auto Responses'!$J$5,$O160*$L160)</f>
        <v>N/A</v>
      </c>
      <c r="Q160" s="107">
        <f t="shared" si="14"/>
        <v>0</v>
      </c>
      <c r="R160" s="107">
        <f t="shared" si="19"/>
        <v>0</v>
      </c>
      <c r="S160" s="107">
        <f t="shared" si="15"/>
        <v>0</v>
      </c>
      <c r="T160" s="107">
        <f t="shared" si="16"/>
        <v>0</v>
      </c>
      <c r="U160" s="107">
        <f t="shared" si="20"/>
        <v>49</v>
      </c>
      <c r="V160" s="107">
        <f t="shared" si="17"/>
        <v>0</v>
      </c>
    </row>
    <row r="161" spans="1:22" ht="57" x14ac:dyDescent="0.2">
      <c r="A161" s="4" t="str">
        <f>Questions!$A161</f>
        <v>FIDP-11</v>
      </c>
      <c r="B161" s="4" t="str">
        <f t="shared" si="18"/>
        <v>FIDP</v>
      </c>
      <c r="C161" s="4" t="str">
        <f>VLOOKUP($A161,Questions!$A$3:$L$333,2,0)&amp;""</f>
        <v>Do you monitor for intrusions on a 24 x 7 x 365 basis?</v>
      </c>
      <c r="D161" s="4" t="str">
        <f>VLOOKUP($A161,Questions!$A$3:$L$333,11,0)&amp;""</f>
        <v/>
      </c>
      <c r="E161" s="4" t="str">
        <f>VLOOKUP($A161,Questions!$A$3:$L$333,12,0)&amp;""</f>
        <v>Infrastructure</v>
      </c>
      <c r="F161" s="4" t="str">
        <f>VLOOKUP($A161,'Institution Evaluation'!$A$56:$K$345,3,0)&amp;""</f>
        <v/>
      </c>
      <c r="G161" s="4" t="str">
        <f>VLOOKUP($A161,'Institution Evaluation'!$A$56:$K$345,7,0)&amp;""</f>
        <v>Yes</v>
      </c>
      <c r="H161" s="4" t="str">
        <f>VLOOKUP($A161,'Institution Evaluation'!$A$56:$K$345,8,0)&amp;""</f>
        <v/>
      </c>
      <c r="I161" s="4" t="str">
        <f>VLOOKUP($A161,'Institution Evaluation'!$A$56:$K$345,9,0)&amp;""</f>
        <v>Minor Importance</v>
      </c>
      <c r="J161" s="4" t="str">
        <f>VLOOKUP($A161,'Institution Evaluation'!$A$56:$K$345,10,0)&amp;""</f>
        <v/>
      </c>
      <c r="K161" s="4">
        <f>IF($I161='Auto Responses'!$J$11,20,IF($I161='Auto Responses'!$J$13,5,10))</f>
        <v>5</v>
      </c>
      <c r="L161" s="107">
        <f>IF($E161='Auto Responses'!$L$13, 'Auto Responses'!$J$5,IF(AND($D161='Auto Responses'!$J$27,$H161=""),'Auto Responses'!$J$5,IF(AND($D161='Auto Responses'!$J$27,$H161='Auto Responses'!$J$7),1,IF(AND($D161='Auto Responses'!$J$27,$H161='Auto Responses'!$J$8),0,IF(OR(AND($F161=$G161,$H161=""),$H161='Auto Responses'!$J$7),1,0)))))</f>
        <v>0</v>
      </c>
      <c r="M161" s="4" t="str">
        <f>VLOOKUP($A161,'Institution Evaluation'!$A$56:$K$345,11,0)&amp;""</f>
        <v>FALSE</v>
      </c>
      <c r="N161" s="4">
        <f>IF($J161='Auto Responses'!$J$11,1,IF(AND($J161="",$I161='Auto Responses'!$J$11),1,0))</f>
        <v>0</v>
      </c>
      <c r="O161" s="107">
        <f>IF(OR($F$17='Auto Responses'!$J$4,$E161='Auto Responses'!$L$13,$F161='Auto Responses'!$J$5),'Auto Responses'!$J$5,IF($J161="",$K161,IF($J161='Auto Responses'!$J$13,5,IF($J161='Auto Responses'!$J$12,10,IF($J161='Auto Responses'!$J$11,20,0)))))</f>
        <v>5</v>
      </c>
      <c r="P161" s="107">
        <f>IF(OR($O161='Auto Responses'!$J$5,$L161='Auto Responses'!$J$5),'Auto Responses'!$J$5,$O161*$L161)</f>
        <v>0</v>
      </c>
      <c r="Q161" s="107">
        <f t="shared" si="14"/>
        <v>0</v>
      </c>
      <c r="R161" s="107">
        <f t="shared" si="19"/>
        <v>0</v>
      </c>
      <c r="S161" s="107">
        <f t="shared" si="15"/>
        <v>0</v>
      </c>
      <c r="T161" s="107">
        <f t="shared" si="16"/>
        <v>0</v>
      </c>
      <c r="U161" s="107">
        <f t="shared" si="20"/>
        <v>49</v>
      </c>
      <c r="V161" s="107">
        <f t="shared" si="17"/>
        <v>0</v>
      </c>
    </row>
    <row r="162" spans="1:22" ht="57" x14ac:dyDescent="0.2">
      <c r="A162" s="4" t="str">
        <f>Questions!$A162</f>
        <v>PPPR-01</v>
      </c>
      <c r="B162" s="4" t="str">
        <f t="shared" si="18"/>
        <v>PPPR</v>
      </c>
      <c r="C162" s="4" t="str">
        <f>VLOOKUP($A162,Questions!$A$3:$L$333,2,0)&amp;""</f>
        <v>Do you have a documented patch management process?*</v>
      </c>
      <c r="D162" s="4" t="str">
        <f>VLOOKUP($A162,Questions!$A$3:$L$333,11,0)&amp;""</f>
        <v/>
      </c>
      <c r="E162" s="4" t="str">
        <f>VLOOKUP($A162,Questions!$A$3:$L$333,12,0)&amp;""</f>
        <v>Organization</v>
      </c>
      <c r="F162" s="4" t="str">
        <f>VLOOKUP($A162,'Institution Evaluation'!$A$56:$K$345,3,0)&amp;""</f>
        <v/>
      </c>
      <c r="G162" s="4" t="str">
        <f>VLOOKUP($A162,'Institution Evaluation'!$A$56:$K$345,7,0)&amp;""</f>
        <v>Yes</v>
      </c>
      <c r="H162" s="4" t="str">
        <f>VLOOKUP($A162,'Institution Evaluation'!$A$56:$K$345,8,0)&amp;""</f>
        <v/>
      </c>
      <c r="I162" s="4" t="str">
        <f>VLOOKUP($A162,'Institution Evaluation'!$A$56:$K$345,9,0)&amp;""</f>
        <v>Critical Importance</v>
      </c>
      <c r="J162" s="4" t="str">
        <f>VLOOKUP($A162,'Institution Evaluation'!$A$56:$K$345,10,0)&amp;""</f>
        <v/>
      </c>
      <c r="K162" s="4">
        <f>IF($I162='Auto Responses'!$J$11,20,IF($I162='Auto Responses'!$J$13,5,10))</f>
        <v>20</v>
      </c>
      <c r="L162" s="107">
        <f>IF($E162='Auto Responses'!$L$13, 'Auto Responses'!$J$5,IF(AND($D162='Auto Responses'!$J$27,$H162=""),'Auto Responses'!$J$5,IF(AND($D162='Auto Responses'!$J$27,$H162='Auto Responses'!$J$7),1,IF(AND($D162='Auto Responses'!$J$27,$H162='Auto Responses'!$J$8),0,IF(OR(AND($F162=$G162,$H162=""),$H162='Auto Responses'!$J$7),1,0)))))</f>
        <v>0</v>
      </c>
      <c r="M162" s="4" t="str">
        <f>VLOOKUP($A162,'Institution Evaluation'!$A$56:$K$345,11,0)&amp;""</f>
        <v>FALSE</v>
      </c>
      <c r="N162" s="4">
        <f>IF($J162='Auto Responses'!$J$11,1,IF(AND($J162="",$I162='Auto Responses'!$J$11),1,0))</f>
        <v>1</v>
      </c>
      <c r="O162" s="107">
        <f>IF(OR($E162='Auto Responses'!$L$13,$F162='Auto Responses'!$J$5),'Auto Responses'!$J$5,IF($J162="",$K162,IF($J162='Auto Responses'!$J$13,5,IF($J162='Auto Responses'!$J$12,10,IF($J162='Auto Responses'!$J$11,20,0)))))</f>
        <v>20</v>
      </c>
      <c r="P162" s="107">
        <f>IF(OR($O162='Auto Responses'!$J$5,$L162='Auto Responses'!$J$5),'Auto Responses'!$J$5,$O162*$L162)</f>
        <v>0</v>
      </c>
      <c r="Q162" s="107">
        <f t="shared" si="14"/>
        <v>0</v>
      </c>
      <c r="R162" s="107">
        <f t="shared" si="19"/>
        <v>0</v>
      </c>
      <c r="S162" s="107">
        <f t="shared" si="15"/>
        <v>0</v>
      </c>
      <c r="T162" s="107">
        <f t="shared" si="16"/>
        <v>1</v>
      </c>
      <c r="U162" s="107">
        <f t="shared" si="20"/>
        <v>50</v>
      </c>
      <c r="V162" s="107">
        <f t="shared" si="17"/>
        <v>50</v>
      </c>
    </row>
    <row r="163" spans="1:22" ht="57" x14ac:dyDescent="0.2">
      <c r="A163" s="4" t="str">
        <f>Questions!$A163</f>
        <v>PPPR-02</v>
      </c>
      <c r="B163" s="4" t="str">
        <f t="shared" si="18"/>
        <v>PPPR</v>
      </c>
      <c r="C163" s="4" t="str">
        <f>VLOOKUP($A163,Questions!$A$3:$L$333,2,0)&amp;""</f>
        <v>Can your organization comply with institutional policies on privacy and data protection with regard to users of institutional systems, if required?*</v>
      </c>
      <c r="D163" s="4" t="str">
        <f>VLOOKUP($A163,Questions!$A$3:$L$333,11,0)&amp;""</f>
        <v/>
      </c>
      <c r="E163" s="4" t="str">
        <f>VLOOKUP($A163,Questions!$A$3:$L$333,12,0)&amp;""</f>
        <v>Organization</v>
      </c>
      <c r="F163" s="4" t="str">
        <f>VLOOKUP($A163,'Institution Evaluation'!$A$56:$K$345,3,0)&amp;""</f>
        <v/>
      </c>
      <c r="G163" s="4" t="str">
        <f>VLOOKUP($A163,'Institution Evaluation'!$A$56:$K$345,7,0)&amp;""</f>
        <v>Yes</v>
      </c>
      <c r="H163" s="4" t="str">
        <f>VLOOKUP($A163,'Institution Evaluation'!$A$56:$K$345,8,0)&amp;""</f>
        <v/>
      </c>
      <c r="I163" s="4" t="str">
        <f>VLOOKUP($A163,'Institution Evaluation'!$A$56:$K$345,9,0)&amp;""</f>
        <v>Critical Importance</v>
      </c>
      <c r="J163" s="4" t="str">
        <f>VLOOKUP($A163,'Institution Evaluation'!$A$56:$K$345,10,0)&amp;""</f>
        <v/>
      </c>
      <c r="K163" s="4">
        <f>IF($I163='Auto Responses'!$J$11,20,IF($I163='Auto Responses'!$J$13,5,10))</f>
        <v>20</v>
      </c>
      <c r="L163" s="107">
        <f>IF($E163='Auto Responses'!$L$13, 'Auto Responses'!$J$5,IF(AND($D163='Auto Responses'!$J$27,$H163=""),'Auto Responses'!$J$5,IF(AND($D163='Auto Responses'!$J$27,$H163='Auto Responses'!$J$7),1,IF(AND($D163='Auto Responses'!$J$27,$H163='Auto Responses'!$J$8),0,IF(OR(AND($F163=$G163,$H163=""),$H163='Auto Responses'!$J$7),1,0)))))</f>
        <v>0</v>
      </c>
      <c r="M163" s="4" t="str">
        <f>VLOOKUP($A163,'Institution Evaluation'!$A$56:$K$345,11,0)&amp;""</f>
        <v>FALSE</v>
      </c>
      <c r="N163" s="4">
        <f>IF($J163='Auto Responses'!$J$11,1,IF(AND($J163="",$I163='Auto Responses'!$J$11),1,0))</f>
        <v>1</v>
      </c>
      <c r="O163" s="107">
        <f>IF(OR($E163='Auto Responses'!$L$13,$F163='Auto Responses'!$J$5),'Auto Responses'!$J$5,IF($J163="",$K163,IF($J163='Auto Responses'!$J$13,5,IF($J163='Auto Responses'!$J$12,10,IF($J163='Auto Responses'!$J$11,20,0)))))</f>
        <v>20</v>
      </c>
      <c r="P163" s="107">
        <f>IF(OR($O163='Auto Responses'!$J$5,$L163='Auto Responses'!$J$5),'Auto Responses'!$J$5,$O163*$L163)</f>
        <v>0</v>
      </c>
      <c r="Q163" s="107">
        <f t="shared" si="14"/>
        <v>0</v>
      </c>
      <c r="R163" s="107">
        <f t="shared" si="19"/>
        <v>0</v>
      </c>
      <c r="S163" s="107">
        <f t="shared" si="15"/>
        <v>0</v>
      </c>
      <c r="T163" s="107">
        <f t="shared" si="16"/>
        <v>1</v>
      </c>
      <c r="U163" s="107">
        <f t="shared" si="20"/>
        <v>51</v>
      </c>
      <c r="V163" s="107">
        <f t="shared" si="17"/>
        <v>51</v>
      </c>
    </row>
    <row r="164" spans="1:22" ht="57" x14ac:dyDescent="0.2">
      <c r="A164" s="4" t="str">
        <f>Questions!$A164</f>
        <v>PPPR-03</v>
      </c>
      <c r="B164" s="4" t="str">
        <f t="shared" si="18"/>
        <v>PPPR</v>
      </c>
      <c r="C164" s="4" t="str">
        <f>VLOOKUP($A164,Questions!$A$3:$L$333,2,0)&amp;""</f>
        <v>Is your company subject to the institution's geographic region's laws and regulations?*</v>
      </c>
      <c r="D164" s="4" t="str">
        <f>VLOOKUP($A164,Questions!$A$3:$L$333,11,0)&amp;""</f>
        <v/>
      </c>
      <c r="E164" s="4" t="str">
        <f>VLOOKUP($A164,Questions!$A$3:$L$333,12,0)&amp;""</f>
        <v>Organization</v>
      </c>
      <c r="F164" s="4" t="str">
        <f>VLOOKUP($A164,'Institution Evaluation'!$A$56:$K$345,3,0)&amp;""</f>
        <v/>
      </c>
      <c r="G164" s="4" t="str">
        <f>VLOOKUP($A164,'Institution Evaluation'!$A$56:$K$345,7,0)&amp;""</f>
        <v>Yes</v>
      </c>
      <c r="H164" s="4" t="str">
        <f>VLOOKUP($A164,'Institution Evaluation'!$A$56:$K$345,8,0)&amp;""</f>
        <v/>
      </c>
      <c r="I164" s="4" t="str">
        <f>VLOOKUP($A164,'Institution Evaluation'!$A$56:$K$345,9,0)&amp;""</f>
        <v>Critical Importance</v>
      </c>
      <c r="J164" s="4" t="str">
        <f>VLOOKUP($A164,'Institution Evaluation'!$A$56:$K$345,10,0)&amp;""</f>
        <v/>
      </c>
      <c r="K164" s="4">
        <f>IF($I164='Auto Responses'!$J$11,20,IF($I164='Auto Responses'!$J$13,5,10))</f>
        <v>20</v>
      </c>
      <c r="L164" s="107">
        <f>IF($E164='Auto Responses'!$L$13, 'Auto Responses'!$J$5,IF(AND($D164='Auto Responses'!$J$27,$H164=""),'Auto Responses'!$J$5,IF(AND($D164='Auto Responses'!$J$27,$H164='Auto Responses'!$J$7),1,IF(AND($D164='Auto Responses'!$J$27,$H164='Auto Responses'!$J$8),0,IF(OR(AND($F164=$G164,$H164=""),$H164='Auto Responses'!$J$7),1,0)))))</f>
        <v>0</v>
      </c>
      <c r="M164" s="4" t="str">
        <f>VLOOKUP($A164,'Institution Evaluation'!$A$56:$K$345,11,0)&amp;""</f>
        <v>FALSE</v>
      </c>
      <c r="N164" s="4">
        <f>IF($J164='Auto Responses'!$J$11,1,IF(AND($J164="",$I164='Auto Responses'!$J$11),1,0))</f>
        <v>1</v>
      </c>
      <c r="O164" s="107">
        <f>IF(OR($E164='Auto Responses'!$L$13,$F164='Auto Responses'!$J$5),'Auto Responses'!$J$5,IF($J164="",$K164,IF($J164='Auto Responses'!$J$13,5,IF($J164='Auto Responses'!$J$12,10,IF($J164='Auto Responses'!$J$11,20,0)))))</f>
        <v>20</v>
      </c>
      <c r="P164" s="107">
        <f>IF(OR($O164='Auto Responses'!$J$5,$L164='Auto Responses'!$J$5),'Auto Responses'!$J$5,$O164*$L164)</f>
        <v>0</v>
      </c>
      <c r="Q164" s="107">
        <f t="shared" si="14"/>
        <v>0</v>
      </c>
      <c r="R164" s="107">
        <f t="shared" si="19"/>
        <v>0</v>
      </c>
      <c r="S164" s="107">
        <f t="shared" si="15"/>
        <v>0</v>
      </c>
      <c r="T164" s="107">
        <f t="shared" si="16"/>
        <v>1</v>
      </c>
      <c r="U164" s="107">
        <f t="shared" si="20"/>
        <v>52</v>
      </c>
      <c r="V164" s="107">
        <f t="shared" si="17"/>
        <v>52</v>
      </c>
    </row>
    <row r="165" spans="1:22" ht="57" x14ac:dyDescent="0.2">
      <c r="A165" s="4" t="str">
        <f>Questions!$A165</f>
        <v>PPPR-04</v>
      </c>
      <c r="B165" s="4" t="str">
        <f t="shared" si="18"/>
        <v>PPPR</v>
      </c>
      <c r="C165" s="4" t="str">
        <f>VLOOKUP($A165,Questions!$A$3:$L$333,2,0)&amp;""</f>
        <v>Can you accommodate encryption requirements using open standards?</v>
      </c>
      <c r="D165" s="4" t="str">
        <f>VLOOKUP($A165,Questions!$A$3:$L$333,11,0)&amp;""</f>
        <v/>
      </c>
      <c r="E165" s="4" t="str">
        <f>VLOOKUP($A165,Questions!$A$3:$L$333,12,0)&amp;""</f>
        <v>Organization</v>
      </c>
      <c r="F165" s="4" t="str">
        <f>VLOOKUP($A165,'Institution Evaluation'!$A$56:$K$345,3,0)&amp;""</f>
        <v/>
      </c>
      <c r="G165" s="4" t="str">
        <f>VLOOKUP($A165,'Institution Evaluation'!$A$56:$K$345,7,0)&amp;""</f>
        <v>Yes</v>
      </c>
      <c r="H165" s="4" t="str">
        <f>VLOOKUP($A165,'Institution Evaluation'!$A$56:$K$345,8,0)&amp;""</f>
        <v/>
      </c>
      <c r="I165" s="4" t="str">
        <f>VLOOKUP($A165,'Institution Evaluation'!$A$56:$K$345,9,0)&amp;""</f>
        <v>Standard Importance</v>
      </c>
      <c r="J165" s="4" t="str">
        <f>VLOOKUP($A165,'Institution Evaluation'!$A$56:$K$345,10,0)&amp;""</f>
        <v/>
      </c>
      <c r="K165" s="4">
        <f>IF($I165='Auto Responses'!$J$11,20,IF($I165='Auto Responses'!$J$13,5,10))</f>
        <v>10</v>
      </c>
      <c r="L165" s="107">
        <f>IF($E165='Auto Responses'!$L$13, 'Auto Responses'!$J$5,IF(AND($D165='Auto Responses'!$J$27,$H165=""),'Auto Responses'!$J$5,IF(AND($D165='Auto Responses'!$J$27,$H165='Auto Responses'!$J$7),1,IF(AND($D165='Auto Responses'!$J$27,$H165='Auto Responses'!$J$8),0,IF(OR(AND($F165=$G165,$H165=""),$H165='Auto Responses'!$J$7),1,0)))))</f>
        <v>0</v>
      </c>
      <c r="M165" s="4" t="str">
        <f>VLOOKUP($A165,'Institution Evaluation'!$A$56:$K$345,11,0)&amp;""</f>
        <v>FALSE</v>
      </c>
      <c r="N165" s="4">
        <f>IF($J165='Auto Responses'!$J$11,1,IF(AND($J165="",$I165='Auto Responses'!$J$11),1,0))</f>
        <v>0</v>
      </c>
      <c r="O165" s="107">
        <f>IF(OR($E165='Auto Responses'!$L$13,$F165='Auto Responses'!$J$5),'Auto Responses'!$J$5,IF($J165="",$K165,IF($J165='Auto Responses'!$J$13,5,IF($J165='Auto Responses'!$J$12,10,IF($J165='Auto Responses'!$J$11,20,0)))))</f>
        <v>10</v>
      </c>
      <c r="P165" s="107">
        <f>IF(OR($O165='Auto Responses'!$J$5,$L165='Auto Responses'!$J$5),'Auto Responses'!$J$5,$O165*$L165)</f>
        <v>0</v>
      </c>
      <c r="Q165" s="107">
        <f t="shared" si="14"/>
        <v>0</v>
      </c>
      <c r="R165" s="107">
        <f t="shared" si="19"/>
        <v>0</v>
      </c>
      <c r="S165" s="107">
        <f t="shared" si="15"/>
        <v>0</v>
      </c>
      <c r="T165" s="107">
        <f t="shared" si="16"/>
        <v>0</v>
      </c>
      <c r="U165" s="107">
        <f t="shared" si="20"/>
        <v>52</v>
      </c>
      <c r="V165" s="107">
        <f t="shared" si="17"/>
        <v>0</v>
      </c>
    </row>
    <row r="166" spans="1:22" ht="57" x14ac:dyDescent="0.2">
      <c r="A166" s="4" t="str">
        <f>Questions!$A166</f>
        <v>PPPR-05</v>
      </c>
      <c r="B166" s="4" t="str">
        <f t="shared" si="18"/>
        <v>PPPR</v>
      </c>
      <c r="C166" s="4" t="str">
        <f>VLOOKUP($A166,Questions!$A$3:$L$333,2,0)&amp;""</f>
        <v>Do you have a documented systems development life cycle (SDLC)?</v>
      </c>
      <c r="D166" s="4" t="str">
        <f>VLOOKUP($A166,Questions!$A$3:$L$333,11,0)&amp;""</f>
        <v/>
      </c>
      <c r="E166" s="4" t="str">
        <f>VLOOKUP($A166,Questions!$A$3:$L$333,12,0)&amp;""</f>
        <v>Organization</v>
      </c>
      <c r="F166" s="4" t="str">
        <f>VLOOKUP($A166,'Institution Evaluation'!$A$56:$K$345,3,0)&amp;""</f>
        <v/>
      </c>
      <c r="G166" s="4" t="str">
        <f>VLOOKUP($A166,'Institution Evaluation'!$A$56:$K$345,7,0)&amp;""</f>
        <v>Yes</v>
      </c>
      <c r="H166" s="4" t="str">
        <f>VLOOKUP($A166,'Institution Evaluation'!$A$56:$K$345,8,0)&amp;""</f>
        <v/>
      </c>
      <c r="I166" s="4" t="str">
        <f>VLOOKUP($A166,'Institution Evaluation'!$A$56:$K$345,9,0)&amp;""</f>
        <v>Standard Importance</v>
      </c>
      <c r="J166" s="4" t="str">
        <f>VLOOKUP($A166,'Institution Evaluation'!$A$56:$K$345,10,0)&amp;""</f>
        <v/>
      </c>
      <c r="K166" s="4">
        <f>IF($I166='Auto Responses'!$J$11,20,IF($I166='Auto Responses'!$J$13,5,10))</f>
        <v>10</v>
      </c>
      <c r="L166" s="107">
        <f>IF($E166='Auto Responses'!$L$13, 'Auto Responses'!$J$5,IF(AND($D166='Auto Responses'!$J$27,$H166=""),'Auto Responses'!$J$5,IF(AND($D166='Auto Responses'!$J$27,$H166='Auto Responses'!$J$7),1,IF(AND($D166='Auto Responses'!$J$27,$H166='Auto Responses'!$J$8),0,IF(OR(AND($F166=$G166,$H166=""),$H166='Auto Responses'!$J$7),1,0)))))</f>
        <v>0</v>
      </c>
      <c r="M166" s="4" t="str">
        <f>VLOOKUP($A166,'Institution Evaluation'!$A$56:$K$345,11,0)&amp;""</f>
        <v>FALSE</v>
      </c>
      <c r="N166" s="4">
        <f>IF($J166='Auto Responses'!$J$11,1,IF(AND($J166="",$I166='Auto Responses'!$J$11),1,0))</f>
        <v>0</v>
      </c>
      <c r="O166" s="107">
        <f>IF(OR($E166='Auto Responses'!$L$13,$F166='Auto Responses'!$J$5),'Auto Responses'!$J$5,IF($J166="",$K166,IF($J166='Auto Responses'!$J$13,5,IF($J166='Auto Responses'!$J$12,10,IF($J166='Auto Responses'!$J$11,20,0)))))</f>
        <v>10</v>
      </c>
      <c r="P166" s="107">
        <f>IF(OR($O166='Auto Responses'!$J$5,$L166='Auto Responses'!$J$5),'Auto Responses'!$J$5,$O166*$L166)</f>
        <v>0</v>
      </c>
      <c r="Q166" s="107">
        <f t="shared" si="14"/>
        <v>0</v>
      </c>
      <c r="R166" s="107">
        <f t="shared" si="19"/>
        <v>0</v>
      </c>
      <c r="S166" s="107">
        <f t="shared" si="15"/>
        <v>0</v>
      </c>
      <c r="T166" s="107">
        <f t="shared" si="16"/>
        <v>0</v>
      </c>
      <c r="U166" s="107">
        <f t="shared" si="20"/>
        <v>52</v>
      </c>
      <c r="V166" s="107">
        <f t="shared" si="17"/>
        <v>0</v>
      </c>
    </row>
    <row r="167" spans="1:22" ht="57" x14ac:dyDescent="0.2">
      <c r="A167" s="4" t="str">
        <f>Questions!$A167</f>
        <v>PPPR-06</v>
      </c>
      <c r="B167" s="4" t="str">
        <f t="shared" si="18"/>
        <v>PPPR</v>
      </c>
      <c r="C167" s="4" t="str">
        <f>VLOOKUP($A167,Questions!$A$3:$L$333,2,0)&amp;""</f>
        <v>Do you perform background screenings or multi-state background checks on all employees prior to their first day of work?</v>
      </c>
      <c r="D167" s="4" t="str">
        <f>VLOOKUP($A167,Questions!$A$3:$L$333,11,0)&amp;""</f>
        <v/>
      </c>
      <c r="E167" s="4" t="str">
        <f>VLOOKUP($A167,Questions!$A$3:$L$333,12,0)&amp;""</f>
        <v>Organization</v>
      </c>
      <c r="F167" s="4" t="str">
        <f>VLOOKUP($A167,'Institution Evaluation'!$A$56:$K$345,3,0)&amp;""</f>
        <v/>
      </c>
      <c r="G167" s="4" t="str">
        <f>VLOOKUP($A167,'Institution Evaluation'!$A$56:$K$345,7,0)&amp;""</f>
        <v>Yes</v>
      </c>
      <c r="H167" s="4" t="str">
        <f>VLOOKUP($A167,'Institution Evaluation'!$A$56:$K$345,8,0)&amp;""</f>
        <v/>
      </c>
      <c r="I167" s="4" t="str">
        <f>VLOOKUP($A167,'Institution Evaluation'!$A$56:$K$345,9,0)&amp;""</f>
        <v>Standard Importance</v>
      </c>
      <c r="J167" s="4" t="str">
        <f>VLOOKUP($A167,'Institution Evaluation'!$A$56:$K$345,10,0)&amp;""</f>
        <v/>
      </c>
      <c r="K167" s="4">
        <f>IF($I167='Auto Responses'!$J$11,20,IF($I167='Auto Responses'!$J$13,5,10))</f>
        <v>10</v>
      </c>
      <c r="L167" s="107">
        <f>IF($E167='Auto Responses'!$L$13, 'Auto Responses'!$J$5,IF(AND($D167='Auto Responses'!$J$27,$H167=""),'Auto Responses'!$J$5,IF(AND($D167='Auto Responses'!$J$27,$H167='Auto Responses'!$J$7),1,IF(AND($D167='Auto Responses'!$J$27,$H167='Auto Responses'!$J$8),0,IF(OR(AND($F167=$G167,$H167=""),$H167='Auto Responses'!$J$7),1,0)))))</f>
        <v>0</v>
      </c>
      <c r="M167" s="4" t="str">
        <f>VLOOKUP($A167,'Institution Evaluation'!$A$56:$K$345,11,0)&amp;""</f>
        <v>FALSE</v>
      </c>
      <c r="N167" s="4">
        <f>IF($J167='Auto Responses'!$J$11,1,IF(AND($J167="",$I167='Auto Responses'!$J$11),1,0))</f>
        <v>0</v>
      </c>
      <c r="O167" s="107">
        <f>IF(OR($E167='Auto Responses'!$L$13,$F167='Auto Responses'!$J$5),'Auto Responses'!$J$5,IF($J167="",$K167,IF($J167='Auto Responses'!$J$13,5,IF($J167='Auto Responses'!$J$12,10,IF($J167='Auto Responses'!$J$11,20,0)))))</f>
        <v>10</v>
      </c>
      <c r="P167" s="107">
        <f>IF(OR($O167='Auto Responses'!$J$5,$L167='Auto Responses'!$J$5),'Auto Responses'!$J$5,$O167*$L167)</f>
        <v>0</v>
      </c>
      <c r="Q167" s="107">
        <f t="shared" si="14"/>
        <v>0</v>
      </c>
      <c r="R167" s="107">
        <f t="shared" si="19"/>
        <v>0</v>
      </c>
      <c r="S167" s="107">
        <f t="shared" si="15"/>
        <v>0</v>
      </c>
      <c r="T167" s="107">
        <f t="shared" si="16"/>
        <v>0</v>
      </c>
      <c r="U167" s="107">
        <f t="shared" si="20"/>
        <v>52</v>
      </c>
      <c r="V167" s="107">
        <f t="shared" si="17"/>
        <v>0</v>
      </c>
    </row>
    <row r="168" spans="1:22" ht="57" x14ac:dyDescent="0.2">
      <c r="A168" s="4" t="str">
        <f>Questions!$A168</f>
        <v>PPPR-07</v>
      </c>
      <c r="B168" s="4" t="str">
        <f t="shared" si="18"/>
        <v>PPPR</v>
      </c>
      <c r="C168" s="4" t="str">
        <f>VLOOKUP($A168,Questions!$A$3:$L$333,2,0)&amp;""</f>
        <v>Do you require new employees to fill out agreements and review policies?</v>
      </c>
      <c r="D168" s="4" t="str">
        <f>VLOOKUP($A168,Questions!$A$3:$L$333,11,0)&amp;""</f>
        <v/>
      </c>
      <c r="E168" s="4" t="str">
        <f>VLOOKUP($A168,Questions!$A$3:$L$333,12,0)&amp;""</f>
        <v>Organization</v>
      </c>
      <c r="F168" s="4" t="str">
        <f>VLOOKUP($A168,'Institution Evaluation'!$A$56:$K$345,3,0)&amp;""</f>
        <v/>
      </c>
      <c r="G168" s="4" t="str">
        <f>VLOOKUP($A168,'Institution Evaluation'!$A$56:$K$345,7,0)&amp;""</f>
        <v>Yes</v>
      </c>
      <c r="H168" s="4" t="str">
        <f>VLOOKUP($A168,'Institution Evaluation'!$A$56:$K$345,8,0)&amp;""</f>
        <v/>
      </c>
      <c r="I168" s="4" t="str">
        <f>VLOOKUP($A168,'Institution Evaluation'!$A$56:$K$345,9,0)&amp;""</f>
        <v>Standard Importance</v>
      </c>
      <c r="J168" s="4" t="str">
        <f>VLOOKUP($A168,'Institution Evaluation'!$A$56:$K$345,10,0)&amp;""</f>
        <v/>
      </c>
      <c r="K168" s="4">
        <f>IF($I168='Auto Responses'!$J$11,20,IF($I168='Auto Responses'!$J$13,5,10))</f>
        <v>10</v>
      </c>
      <c r="L168" s="107">
        <f>IF($E168='Auto Responses'!$L$13, 'Auto Responses'!$J$5,IF(AND($D168='Auto Responses'!$J$27,$H168=""),'Auto Responses'!$J$5,IF(AND($D168='Auto Responses'!$J$27,$H168='Auto Responses'!$J$7),1,IF(AND($D168='Auto Responses'!$J$27,$H168='Auto Responses'!$J$8),0,IF(OR(AND($F168=$G168,$H168=""),$H168='Auto Responses'!$J$7),1,0)))))</f>
        <v>0</v>
      </c>
      <c r="M168" s="4" t="str">
        <f>VLOOKUP($A168,'Institution Evaluation'!$A$56:$K$345,11,0)&amp;""</f>
        <v>FALSE</v>
      </c>
      <c r="N168" s="4">
        <f>IF($J168='Auto Responses'!$J$11,1,IF(AND($J168="",$I168='Auto Responses'!$J$11),1,0))</f>
        <v>0</v>
      </c>
      <c r="O168" s="107">
        <f>IF(OR($E168='Auto Responses'!$L$13,$F168='Auto Responses'!$J$5),'Auto Responses'!$J$5,IF($J168="",$K168,IF($J168='Auto Responses'!$J$13,5,IF($J168='Auto Responses'!$J$12,10,IF($J168='Auto Responses'!$J$11,20,0)))))</f>
        <v>10</v>
      </c>
      <c r="P168" s="107">
        <f>IF(OR($O168='Auto Responses'!$J$5,$L168='Auto Responses'!$J$5),'Auto Responses'!$J$5,$O168*$L168)</f>
        <v>0</v>
      </c>
      <c r="Q168" s="107">
        <f t="shared" si="14"/>
        <v>0</v>
      </c>
      <c r="R168" s="107">
        <f t="shared" si="19"/>
        <v>0</v>
      </c>
      <c r="S168" s="107">
        <f t="shared" si="15"/>
        <v>0</v>
      </c>
      <c r="T168" s="107">
        <f t="shared" si="16"/>
        <v>0</v>
      </c>
      <c r="U168" s="107">
        <f t="shared" si="20"/>
        <v>52</v>
      </c>
      <c r="V168" s="107">
        <f t="shared" si="17"/>
        <v>0</v>
      </c>
    </row>
    <row r="169" spans="1:22" ht="57" x14ac:dyDescent="0.2">
      <c r="A169" s="4" t="str">
        <f>Questions!$A169</f>
        <v>PPPR-08</v>
      </c>
      <c r="B169" s="4" t="str">
        <f t="shared" si="18"/>
        <v>PPPR</v>
      </c>
      <c r="C169" s="4" t="str">
        <f>VLOOKUP($A169,Questions!$A$3:$L$333,2,0)&amp;""</f>
        <v>Do you have a documented information security policy?</v>
      </c>
      <c r="D169" s="4" t="str">
        <f>VLOOKUP($A169,Questions!$A$3:$L$333,11,0)&amp;""</f>
        <v/>
      </c>
      <c r="E169" s="4" t="str">
        <f>VLOOKUP($A169,Questions!$A$3:$L$333,12,0)&amp;""</f>
        <v>Organization</v>
      </c>
      <c r="F169" s="4" t="str">
        <f>VLOOKUP($A169,'Institution Evaluation'!$A$56:$K$345,3,0)&amp;""</f>
        <v/>
      </c>
      <c r="G169" s="4" t="str">
        <f>VLOOKUP($A169,'Institution Evaluation'!$A$56:$K$345,7,0)&amp;""</f>
        <v>Yes</v>
      </c>
      <c r="H169" s="4" t="str">
        <f>VLOOKUP($A169,'Institution Evaluation'!$A$56:$K$345,8,0)&amp;""</f>
        <v/>
      </c>
      <c r="I169" s="4" t="str">
        <f>VLOOKUP($A169,'Institution Evaluation'!$A$56:$K$345,9,0)&amp;""</f>
        <v>Standard Importance</v>
      </c>
      <c r="J169" s="4" t="str">
        <f>VLOOKUP($A169,'Institution Evaluation'!$A$56:$K$345,10,0)&amp;""</f>
        <v/>
      </c>
      <c r="K169" s="4">
        <f>IF($I169='Auto Responses'!$J$11,20,IF($I169='Auto Responses'!$J$13,5,10))</f>
        <v>10</v>
      </c>
      <c r="L169" s="107">
        <f>IF($E169='Auto Responses'!$L$13, 'Auto Responses'!$J$5,IF(AND($D169='Auto Responses'!$J$27,$H169=""),'Auto Responses'!$J$5,IF(AND($D169='Auto Responses'!$J$27,$H169='Auto Responses'!$J$7),1,IF(AND($D169='Auto Responses'!$J$27,$H169='Auto Responses'!$J$8),0,IF(OR(AND($F169=$G169,$H169=""),$H169='Auto Responses'!$J$7),1,0)))))</f>
        <v>0</v>
      </c>
      <c r="M169" s="4" t="str">
        <f>VLOOKUP($A169,'Institution Evaluation'!$A$56:$K$345,11,0)&amp;""</f>
        <v>FALSE</v>
      </c>
      <c r="N169" s="4">
        <f>IF($J169='Auto Responses'!$J$11,1,IF(AND($J169="",$I169='Auto Responses'!$J$11),1,0))</f>
        <v>0</v>
      </c>
      <c r="O169" s="107">
        <f>IF(OR($E169='Auto Responses'!$L$13,$F169='Auto Responses'!$J$5),'Auto Responses'!$J$5,IF($J169="",$K169,IF($J169='Auto Responses'!$J$13,5,IF($J169='Auto Responses'!$J$12,10,IF($J169='Auto Responses'!$J$11,20,0)))))</f>
        <v>10</v>
      </c>
      <c r="P169" s="107">
        <f>IF(OR($O169='Auto Responses'!$J$5,$L169='Auto Responses'!$J$5),'Auto Responses'!$J$5,$O169*$L169)</f>
        <v>0</v>
      </c>
      <c r="Q169" s="107">
        <f t="shared" si="14"/>
        <v>0</v>
      </c>
      <c r="R169" s="107">
        <f t="shared" si="19"/>
        <v>0</v>
      </c>
      <c r="S169" s="107">
        <f t="shared" si="15"/>
        <v>0</v>
      </c>
      <c r="T169" s="107">
        <f t="shared" si="16"/>
        <v>0</v>
      </c>
      <c r="U169" s="107">
        <f t="shared" si="20"/>
        <v>52</v>
      </c>
      <c r="V169" s="107">
        <f t="shared" si="17"/>
        <v>0</v>
      </c>
    </row>
    <row r="170" spans="1:22" ht="57" x14ac:dyDescent="0.2">
      <c r="A170" s="4" t="str">
        <f>Questions!$A170</f>
        <v>PPPR-09</v>
      </c>
      <c r="B170" s="4" t="str">
        <f t="shared" si="18"/>
        <v>PPPR</v>
      </c>
      <c r="C170" s="4" t="str">
        <f>VLOOKUP($A170,Questions!$A$3:$L$333,2,0)&amp;""</f>
        <v>Are information security principles designed into the product lifecycle?</v>
      </c>
      <c r="D170" s="4" t="str">
        <f>VLOOKUP($A170,Questions!$A$3:$L$333,11,0)&amp;""</f>
        <v/>
      </c>
      <c r="E170" s="4" t="str">
        <f>VLOOKUP($A170,Questions!$A$3:$L$333,12,0)&amp;""</f>
        <v>Organization</v>
      </c>
      <c r="F170" s="4" t="str">
        <f>VLOOKUP($A170,'Institution Evaluation'!$A$56:$K$345,3,0)&amp;""</f>
        <v/>
      </c>
      <c r="G170" s="4" t="str">
        <f>VLOOKUP($A170,'Institution Evaluation'!$A$56:$K$345,7,0)&amp;""</f>
        <v>Yes</v>
      </c>
      <c r="H170" s="4" t="str">
        <f>VLOOKUP($A170,'Institution Evaluation'!$A$56:$K$345,8,0)&amp;""</f>
        <v/>
      </c>
      <c r="I170" s="4" t="str">
        <f>VLOOKUP($A170,'Institution Evaluation'!$A$56:$K$345,9,0)&amp;""</f>
        <v>Minor Importance</v>
      </c>
      <c r="J170" s="4" t="str">
        <f>VLOOKUP($A170,'Institution Evaluation'!$A$56:$K$345,10,0)&amp;""</f>
        <v/>
      </c>
      <c r="K170" s="4">
        <f>IF($I170='Auto Responses'!$J$11,20,IF($I170='Auto Responses'!$J$13,5,10))</f>
        <v>5</v>
      </c>
      <c r="L170" s="107">
        <f>IF($E170='Auto Responses'!$L$13, 'Auto Responses'!$J$5,IF(AND($D170='Auto Responses'!$J$27,$H170=""),'Auto Responses'!$J$5,IF(AND($D170='Auto Responses'!$J$27,$H170='Auto Responses'!$J$7),1,IF(AND($D170='Auto Responses'!$J$27,$H170='Auto Responses'!$J$8),0,IF(OR(AND($F170=$G170,$H170=""),$H170='Auto Responses'!$J$7),1,0)))))</f>
        <v>0</v>
      </c>
      <c r="M170" s="4" t="str">
        <f>VLOOKUP($A170,'Institution Evaluation'!$A$56:$K$345,11,0)&amp;""</f>
        <v>FALSE</v>
      </c>
      <c r="N170" s="4">
        <f>IF($J170='Auto Responses'!$J$11,1,IF(AND($J170="",$I170='Auto Responses'!$J$11),1,0))</f>
        <v>0</v>
      </c>
      <c r="O170" s="107">
        <f>IF(OR($E170='Auto Responses'!$L$13,$F170='Auto Responses'!$J$5),'Auto Responses'!$J$5,IF($J170="",$K170,IF($J170='Auto Responses'!$J$13,5,IF($J170='Auto Responses'!$J$12,10,IF($J170='Auto Responses'!$J$11,20,0)))))</f>
        <v>5</v>
      </c>
      <c r="P170" s="107">
        <f>IF(OR($O170='Auto Responses'!$J$5,$L170='Auto Responses'!$J$5),'Auto Responses'!$J$5,$O170*$L170)</f>
        <v>0</v>
      </c>
      <c r="Q170" s="107">
        <f t="shared" si="14"/>
        <v>0</v>
      </c>
      <c r="R170" s="107">
        <f t="shared" si="19"/>
        <v>0</v>
      </c>
      <c r="S170" s="107">
        <f t="shared" si="15"/>
        <v>0</v>
      </c>
      <c r="T170" s="107">
        <f t="shared" si="16"/>
        <v>0</v>
      </c>
      <c r="U170" s="107">
        <f t="shared" si="20"/>
        <v>52</v>
      </c>
      <c r="V170" s="107">
        <f t="shared" si="17"/>
        <v>0</v>
      </c>
    </row>
    <row r="171" spans="1:22" ht="57" x14ac:dyDescent="0.2">
      <c r="A171" s="4" t="str">
        <f>Questions!$A171</f>
        <v>PPPR-10</v>
      </c>
      <c r="B171" s="4" t="str">
        <f t="shared" si="18"/>
        <v>PPPR</v>
      </c>
      <c r="C171" s="4" t="str">
        <f>VLOOKUP($A171,Questions!$A$3:$L$333,2,0)&amp;""</f>
        <v>Will you comply with applicable breach notification laws?</v>
      </c>
      <c r="D171" s="4" t="str">
        <f>VLOOKUP($A171,Questions!$A$3:$L$333,11,0)&amp;""</f>
        <v/>
      </c>
      <c r="E171" s="4" t="str">
        <f>VLOOKUP($A171,Questions!$A$3:$L$333,12,0)&amp;""</f>
        <v>Organization</v>
      </c>
      <c r="F171" s="4" t="str">
        <f>VLOOKUP($A171,'Institution Evaluation'!$A$56:$K$345,3,0)&amp;""</f>
        <v/>
      </c>
      <c r="G171" s="4" t="str">
        <f>VLOOKUP($A171,'Institution Evaluation'!$A$56:$K$345,7,0)&amp;""</f>
        <v>Yes</v>
      </c>
      <c r="H171" s="4" t="str">
        <f>VLOOKUP($A171,'Institution Evaluation'!$A$56:$K$345,8,0)&amp;""</f>
        <v/>
      </c>
      <c r="I171" s="4" t="str">
        <f>VLOOKUP($A171,'Institution Evaluation'!$A$56:$K$345,9,0)&amp;""</f>
        <v>Minor Importance</v>
      </c>
      <c r="J171" s="4" t="str">
        <f>VLOOKUP($A171,'Institution Evaluation'!$A$56:$K$345,10,0)&amp;""</f>
        <v/>
      </c>
      <c r="K171" s="4">
        <f>IF($I171='Auto Responses'!$J$11,20,IF($I171='Auto Responses'!$J$13,5,10))</f>
        <v>5</v>
      </c>
      <c r="L171" s="107">
        <f>IF($E171='Auto Responses'!$L$13, 'Auto Responses'!$J$5,IF(AND($D171='Auto Responses'!$J$27,$H171=""),'Auto Responses'!$J$5,IF(AND($D171='Auto Responses'!$J$27,$H171='Auto Responses'!$J$7),1,IF(AND($D171='Auto Responses'!$J$27,$H171='Auto Responses'!$J$8),0,IF(OR(AND($F171=$G171,$H171=""),$H171='Auto Responses'!$J$7),1,0)))))</f>
        <v>0</v>
      </c>
      <c r="M171" s="4" t="str">
        <f>VLOOKUP($A171,'Institution Evaluation'!$A$56:$K$345,11,0)&amp;""</f>
        <v>FALSE</v>
      </c>
      <c r="N171" s="4">
        <f>IF($J171='Auto Responses'!$J$11,1,IF(AND($J171="",$I171='Auto Responses'!$J$11),1,0))</f>
        <v>0</v>
      </c>
      <c r="O171" s="107">
        <f>IF(OR($E171='Auto Responses'!$L$13,$F171='Auto Responses'!$J$5),'Auto Responses'!$J$5,IF($J171="",$K171,IF($J171='Auto Responses'!$J$13,5,IF($J171='Auto Responses'!$J$12,10,IF($J171='Auto Responses'!$J$11,20,0)))))</f>
        <v>5</v>
      </c>
      <c r="P171" s="107">
        <f>IF(OR($O171='Auto Responses'!$J$5,$L171='Auto Responses'!$J$5),'Auto Responses'!$J$5,$O171*$L171)</f>
        <v>0</v>
      </c>
      <c r="Q171" s="107">
        <f t="shared" si="14"/>
        <v>0</v>
      </c>
      <c r="R171" s="107">
        <f t="shared" si="19"/>
        <v>0</v>
      </c>
      <c r="S171" s="107">
        <f t="shared" si="15"/>
        <v>0</v>
      </c>
      <c r="T171" s="107">
        <f t="shared" si="16"/>
        <v>0</v>
      </c>
      <c r="U171" s="107">
        <f t="shared" si="20"/>
        <v>52</v>
      </c>
      <c r="V171" s="107">
        <f t="shared" si="17"/>
        <v>0</v>
      </c>
    </row>
    <row r="172" spans="1:22" ht="57" x14ac:dyDescent="0.2">
      <c r="A172" s="4" t="str">
        <f>Questions!$A172</f>
        <v>PPPR-11</v>
      </c>
      <c r="B172" s="4" t="str">
        <f t="shared" si="18"/>
        <v>PPPR</v>
      </c>
      <c r="C172" s="4" t="str">
        <f>VLOOKUP($A172,Questions!$A$3:$L$333,2,0)&amp;""</f>
        <v>Do you have an information security awareness program?</v>
      </c>
      <c r="D172" s="4" t="str">
        <f>VLOOKUP($A172,Questions!$A$3:$L$333,11,0)&amp;""</f>
        <v/>
      </c>
      <c r="E172" s="4" t="str">
        <f>VLOOKUP($A172,Questions!$A$3:$L$333,12,0)&amp;""</f>
        <v>Organization</v>
      </c>
      <c r="F172" s="4" t="str">
        <f>VLOOKUP($A172,'Institution Evaluation'!$A$56:$K$345,3,0)&amp;""</f>
        <v/>
      </c>
      <c r="G172" s="4" t="str">
        <f>VLOOKUP($A172,'Institution Evaluation'!$A$56:$K$345,7,0)&amp;""</f>
        <v>Yes</v>
      </c>
      <c r="H172" s="4" t="str">
        <f>VLOOKUP($A172,'Institution Evaluation'!$A$56:$K$345,8,0)&amp;""</f>
        <v/>
      </c>
      <c r="I172" s="4" t="str">
        <f>VLOOKUP($A172,'Institution Evaluation'!$A$56:$K$345,9,0)&amp;""</f>
        <v>Minor Importance</v>
      </c>
      <c r="J172" s="4" t="str">
        <f>VLOOKUP($A172,'Institution Evaluation'!$A$56:$K$345,10,0)&amp;""</f>
        <v/>
      </c>
      <c r="K172" s="4">
        <f>IF($I172='Auto Responses'!$J$11,20,IF($I172='Auto Responses'!$J$13,5,10))</f>
        <v>5</v>
      </c>
      <c r="L172" s="107">
        <f>IF($E172='Auto Responses'!$L$13, 'Auto Responses'!$J$5,IF(AND($D172='Auto Responses'!$J$27,$H172=""),'Auto Responses'!$J$5,IF(AND($D172='Auto Responses'!$J$27,$H172='Auto Responses'!$J$7),1,IF(AND($D172='Auto Responses'!$J$27,$H172='Auto Responses'!$J$8),0,IF(OR(AND($F172=$G172,$H172=""),$H172='Auto Responses'!$J$7),1,0)))))</f>
        <v>0</v>
      </c>
      <c r="M172" s="4" t="str">
        <f>VLOOKUP($A172,'Institution Evaluation'!$A$56:$K$345,11,0)&amp;""</f>
        <v>FALSE</v>
      </c>
      <c r="N172" s="4">
        <f>IF($J172='Auto Responses'!$J$11,1,IF(AND($J172="",$I172='Auto Responses'!$J$11),1,0))</f>
        <v>0</v>
      </c>
      <c r="O172" s="107">
        <f>IF(OR($E172='Auto Responses'!$L$13,$F172='Auto Responses'!$J$5),'Auto Responses'!$J$5,IF($J172="",$K172,IF($J172='Auto Responses'!$J$13,5,IF($J172='Auto Responses'!$J$12,10,IF($J172='Auto Responses'!$J$11,20,0)))))</f>
        <v>5</v>
      </c>
      <c r="P172" s="107">
        <f>IF(OR($O172='Auto Responses'!$J$5,$L172='Auto Responses'!$J$5),'Auto Responses'!$J$5,$O172*$L172)</f>
        <v>0</v>
      </c>
      <c r="Q172" s="107">
        <f t="shared" si="14"/>
        <v>0</v>
      </c>
      <c r="R172" s="107">
        <f t="shared" si="19"/>
        <v>0</v>
      </c>
      <c r="S172" s="107">
        <f t="shared" si="15"/>
        <v>0</v>
      </c>
      <c r="T172" s="107">
        <f t="shared" si="16"/>
        <v>0</v>
      </c>
      <c r="U172" s="107">
        <f t="shared" si="20"/>
        <v>52</v>
      </c>
      <c r="V172" s="107">
        <f t="shared" si="17"/>
        <v>0</v>
      </c>
    </row>
    <row r="173" spans="1:22" ht="57" x14ac:dyDescent="0.2">
      <c r="A173" s="4" t="str">
        <f>Questions!$A173</f>
        <v>PPPR-12</v>
      </c>
      <c r="B173" s="4" t="str">
        <f t="shared" si="18"/>
        <v>PPPR</v>
      </c>
      <c r="C173" s="4" t="str">
        <f>VLOOKUP($A173,Questions!$A$3:$L$333,2,0)&amp;""</f>
        <v>Is security awareness training mandatory for all employees?</v>
      </c>
      <c r="D173" s="4" t="str">
        <f>VLOOKUP($A173,Questions!$A$3:$L$333,11,0)&amp;""</f>
        <v/>
      </c>
      <c r="E173" s="4" t="str">
        <f>VLOOKUP($A173,Questions!$A$3:$L$333,12,0)&amp;""</f>
        <v>Organization</v>
      </c>
      <c r="F173" s="4" t="str">
        <f>VLOOKUP($A173,'Institution Evaluation'!$A$56:$K$345,3,0)&amp;""</f>
        <v/>
      </c>
      <c r="G173" s="4" t="str">
        <f>VLOOKUP($A173,'Institution Evaluation'!$A$56:$K$345,7,0)&amp;""</f>
        <v>Yes</v>
      </c>
      <c r="H173" s="4" t="str">
        <f>VLOOKUP($A173,'Institution Evaluation'!$A$56:$K$345,8,0)&amp;""</f>
        <v/>
      </c>
      <c r="I173" s="4" t="str">
        <f>VLOOKUP($A173,'Institution Evaluation'!$A$56:$K$345,9,0)&amp;""</f>
        <v>Minor Importance</v>
      </c>
      <c r="J173" s="4" t="str">
        <f>VLOOKUP($A173,'Institution Evaluation'!$A$56:$K$345,10,0)&amp;""</f>
        <v/>
      </c>
      <c r="K173" s="4">
        <f>IF($I173='Auto Responses'!$J$11,20,IF($I173='Auto Responses'!$J$13,5,10))</f>
        <v>5</v>
      </c>
      <c r="L173" s="107">
        <f>IF($E173='Auto Responses'!$L$13, 'Auto Responses'!$J$5,IF(AND($D173='Auto Responses'!$J$27,$H173=""),'Auto Responses'!$J$5,IF(AND($D173='Auto Responses'!$J$27,$H173='Auto Responses'!$J$7),1,IF(AND($D173='Auto Responses'!$J$27,$H173='Auto Responses'!$J$8),0,IF(OR(AND($F173=$G173,$H173=""),$H173='Auto Responses'!$J$7),1,0)))))</f>
        <v>0</v>
      </c>
      <c r="M173" s="4" t="str">
        <f>VLOOKUP($A173,'Institution Evaluation'!$A$56:$K$345,11,0)&amp;""</f>
        <v>FALSE</v>
      </c>
      <c r="N173" s="4">
        <f>IF($J173='Auto Responses'!$J$11,1,IF(AND($J173="",$I173='Auto Responses'!$J$11),1,0))</f>
        <v>0</v>
      </c>
      <c r="O173" s="107">
        <f>IF(OR($E173='Auto Responses'!$L$13,$F173='Auto Responses'!$J$5),'Auto Responses'!$J$5,IF($J173="",$K173,IF($J173='Auto Responses'!$J$13,5,IF($J173='Auto Responses'!$J$12,10,IF($J173='Auto Responses'!$J$11,20,0)))))</f>
        <v>5</v>
      </c>
      <c r="P173" s="107">
        <f>IF(OR($O173='Auto Responses'!$J$5,$L173='Auto Responses'!$J$5),'Auto Responses'!$J$5,$O173*$L173)</f>
        <v>0</v>
      </c>
      <c r="Q173" s="107">
        <f t="shared" si="14"/>
        <v>0</v>
      </c>
      <c r="R173" s="107">
        <f t="shared" si="19"/>
        <v>0</v>
      </c>
      <c r="S173" s="107">
        <f t="shared" si="15"/>
        <v>0</v>
      </c>
      <c r="T173" s="107">
        <f t="shared" si="16"/>
        <v>0</v>
      </c>
      <c r="U173" s="107">
        <f t="shared" si="20"/>
        <v>52</v>
      </c>
      <c r="V173" s="107">
        <f t="shared" si="17"/>
        <v>0</v>
      </c>
    </row>
    <row r="174" spans="1:22" ht="57" x14ac:dyDescent="0.2">
      <c r="A174" s="4" t="str">
        <f>Questions!$A174</f>
        <v>PPPR-13</v>
      </c>
      <c r="B174" s="4" t="str">
        <f t="shared" si="18"/>
        <v>PPPR</v>
      </c>
      <c r="C174" s="4" t="str">
        <f>VLOOKUP($A174,Questions!$A$3:$L$333,2,0)&amp;""</f>
        <v>Do you have process and procedure(s) documented, and currently followed, that require a review and update of the access list(s) for privileged accounts?</v>
      </c>
      <c r="D174" s="4" t="str">
        <f>VLOOKUP($A174,Questions!$A$3:$L$333,11,0)&amp;""</f>
        <v/>
      </c>
      <c r="E174" s="4" t="str">
        <f>VLOOKUP($A174,Questions!$A$3:$L$333,12,0)&amp;""</f>
        <v>Organization</v>
      </c>
      <c r="F174" s="4" t="str">
        <f>VLOOKUP($A174,'Institution Evaluation'!$A$56:$K$345,3,0)&amp;""</f>
        <v/>
      </c>
      <c r="G174" s="4" t="str">
        <f>VLOOKUP($A174,'Institution Evaluation'!$A$56:$K$345,7,0)&amp;""</f>
        <v>Yes</v>
      </c>
      <c r="H174" s="4" t="str">
        <f>VLOOKUP($A174,'Institution Evaluation'!$A$56:$K$345,8,0)&amp;""</f>
        <v/>
      </c>
      <c r="I174" s="4" t="str">
        <f>VLOOKUP($A174,'Institution Evaluation'!$A$56:$K$345,9,0)&amp;""</f>
        <v>Minor Importance</v>
      </c>
      <c r="J174" s="4" t="str">
        <f>VLOOKUP($A174,'Institution Evaluation'!$A$56:$K$345,10,0)&amp;""</f>
        <v/>
      </c>
      <c r="K174" s="4">
        <f>IF($I174='Auto Responses'!$J$11,20,IF($I174='Auto Responses'!$J$13,5,10))</f>
        <v>5</v>
      </c>
      <c r="L174" s="107">
        <f>IF($E174='Auto Responses'!$L$13, 'Auto Responses'!$J$5,IF(AND($D174='Auto Responses'!$J$27,$H174=""),'Auto Responses'!$J$5,IF(AND($D174='Auto Responses'!$J$27,$H174='Auto Responses'!$J$7),1,IF(AND($D174='Auto Responses'!$J$27,$H174='Auto Responses'!$J$8),0,IF(OR(AND($F174=$G174,$H174=""),$H174='Auto Responses'!$J$7),1,0)))))</f>
        <v>0</v>
      </c>
      <c r="M174" s="4" t="str">
        <f>VLOOKUP($A174,'Institution Evaluation'!$A$56:$K$345,11,0)&amp;""</f>
        <v>FALSE</v>
      </c>
      <c r="N174" s="4">
        <f>IF($J174='Auto Responses'!$J$11,1,IF(AND($J174="",$I174='Auto Responses'!$J$11),1,0))</f>
        <v>0</v>
      </c>
      <c r="O174" s="107">
        <f>IF(OR($E174='Auto Responses'!$L$13,$F174='Auto Responses'!$J$5),'Auto Responses'!$J$5,IF($J174="",$K174,IF($J174='Auto Responses'!$J$13,5,IF($J174='Auto Responses'!$J$12,10,IF($J174='Auto Responses'!$J$11,20,0)))))</f>
        <v>5</v>
      </c>
      <c r="P174" s="107">
        <f>IF(OR($O174='Auto Responses'!$J$5,$L174='Auto Responses'!$J$5),'Auto Responses'!$J$5,$O174*$L174)</f>
        <v>0</v>
      </c>
      <c r="Q174" s="107">
        <f t="shared" si="14"/>
        <v>0</v>
      </c>
      <c r="R174" s="107">
        <f t="shared" si="19"/>
        <v>0</v>
      </c>
      <c r="S174" s="107">
        <f t="shared" si="15"/>
        <v>0</v>
      </c>
      <c r="T174" s="107">
        <f t="shared" si="16"/>
        <v>0</v>
      </c>
      <c r="U174" s="107">
        <f t="shared" si="20"/>
        <v>52</v>
      </c>
      <c r="V174" s="107">
        <f t="shared" si="17"/>
        <v>0</v>
      </c>
    </row>
    <row r="175" spans="1:22" ht="57" x14ac:dyDescent="0.2">
      <c r="A175" s="4" t="str">
        <f>Questions!$A175</f>
        <v>PPPR-14</v>
      </c>
      <c r="B175" s="4" t="str">
        <f t="shared" si="18"/>
        <v>PPPR</v>
      </c>
      <c r="C175" s="4" t="str">
        <f>VLOOKUP($A175,Questions!$A$3:$L$333,2,0)&amp;""</f>
        <v>Do you have documented, and currently implemented, internal audit processes and procedures?</v>
      </c>
      <c r="D175" s="4" t="str">
        <f>VLOOKUP($A175,Questions!$A$3:$L$333,11,0)&amp;""</f>
        <v/>
      </c>
      <c r="E175" s="4" t="str">
        <f>VLOOKUP($A175,Questions!$A$3:$L$333,12,0)&amp;""</f>
        <v>Organization</v>
      </c>
      <c r="F175" s="4" t="str">
        <f>VLOOKUP($A175,'Institution Evaluation'!$A$56:$K$345,3,0)&amp;""</f>
        <v/>
      </c>
      <c r="G175" s="4" t="str">
        <f>VLOOKUP($A175,'Institution Evaluation'!$A$56:$K$345,7,0)&amp;""</f>
        <v>Yes</v>
      </c>
      <c r="H175" s="4" t="str">
        <f>VLOOKUP($A175,'Institution Evaluation'!$A$56:$K$345,8,0)&amp;""</f>
        <v/>
      </c>
      <c r="I175" s="4" t="str">
        <f>VLOOKUP($A175,'Institution Evaluation'!$A$56:$K$345,9,0)&amp;""</f>
        <v>Minor Importance</v>
      </c>
      <c r="J175" s="4" t="str">
        <f>VLOOKUP($A175,'Institution Evaluation'!$A$56:$K$345,10,0)&amp;""</f>
        <v/>
      </c>
      <c r="K175" s="4">
        <f>IF($I175='Auto Responses'!$J$11,20,IF($I175='Auto Responses'!$J$13,5,10))</f>
        <v>5</v>
      </c>
      <c r="L175" s="107">
        <f>IF($E175='Auto Responses'!$L$13, 'Auto Responses'!$J$5,IF(AND($D175='Auto Responses'!$J$27,$H175=""),'Auto Responses'!$J$5,IF(AND($D175='Auto Responses'!$J$27,$H175='Auto Responses'!$J$7),1,IF(AND($D175='Auto Responses'!$J$27,$H175='Auto Responses'!$J$8),0,IF(OR(AND($F175=$G175,$H175=""),$H175='Auto Responses'!$J$7),1,0)))))</f>
        <v>0</v>
      </c>
      <c r="M175" s="4" t="str">
        <f>VLOOKUP($A175,'Institution Evaluation'!$A$56:$K$345,11,0)&amp;""</f>
        <v>FALSE</v>
      </c>
      <c r="N175" s="4">
        <f>IF($J175='Auto Responses'!$J$11,1,IF(AND($J175="",$I175='Auto Responses'!$J$11),1,0))</f>
        <v>0</v>
      </c>
      <c r="O175" s="107">
        <f>IF(OR($E175='Auto Responses'!$L$13,$F175='Auto Responses'!$J$5),'Auto Responses'!$J$5,IF($J175="",$K175,IF($J175='Auto Responses'!$J$13,5,IF($J175='Auto Responses'!$J$12,10,IF($J175='Auto Responses'!$J$11,20,0)))))</f>
        <v>5</v>
      </c>
      <c r="P175" s="107">
        <f>IF(OR($O175='Auto Responses'!$J$5,$L175='Auto Responses'!$J$5),'Auto Responses'!$J$5,$O175*$L175)</f>
        <v>0</v>
      </c>
      <c r="Q175" s="107">
        <f t="shared" si="14"/>
        <v>0</v>
      </c>
      <c r="R175" s="107">
        <f t="shared" si="19"/>
        <v>0</v>
      </c>
      <c r="S175" s="107">
        <f t="shared" si="15"/>
        <v>0</v>
      </c>
      <c r="T175" s="107">
        <f t="shared" si="16"/>
        <v>0</v>
      </c>
      <c r="U175" s="107">
        <f t="shared" si="20"/>
        <v>52</v>
      </c>
      <c r="V175" s="107">
        <f t="shared" si="17"/>
        <v>0</v>
      </c>
    </row>
    <row r="176" spans="1:22" ht="57" x14ac:dyDescent="0.2">
      <c r="A176" s="4" t="str">
        <f>Questions!$A176</f>
        <v>PPPR-15</v>
      </c>
      <c r="B176" s="4" t="str">
        <f t="shared" si="18"/>
        <v>PPPR</v>
      </c>
      <c r="C176" s="4" t="str">
        <f>VLOOKUP($A176,Questions!$A$3:$L$333,2,0)&amp;""</f>
        <v>Does your organization have physical security controls and policies in place?</v>
      </c>
      <c r="D176" s="4" t="str">
        <f>VLOOKUP($A176,Questions!$A$3:$L$333,11,0)&amp;""</f>
        <v/>
      </c>
      <c r="E176" s="4" t="str">
        <f>VLOOKUP($A176,Questions!$A$3:$L$333,12,0)&amp;""</f>
        <v>Organization</v>
      </c>
      <c r="F176" s="4" t="str">
        <f>VLOOKUP($A176,'Institution Evaluation'!$A$56:$K$345,3,0)&amp;""</f>
        <v/>
      </c>
      <c r="G176" s="4" t="str">
        <f>VLOOKUP($A176,'Institution Evaluation'!$A$56:$K$345,7,0)&amp;""</f>
        <v>Yes</v>
      </c>
      <c r="H176" s="4" t="str">
        <f>VLOOKUP($A176,'Institution Evaluation'!$A$56:$K$345,8,0)&amp;""</f>
        <v/>
      </c>
      <c r="I176" s="4" t="str">
        <f>VLOOKUP($A176,'Institution Evaluation'!$A$56:$K$345,9,0)&amp;""</f>
        <v>Minor Importance</v>
      </c>
      <c r="J176" s="4" t="str">
        <f>VLOOKUP($A176,'Institution Evaluation'!$A$56:$K$345,10,0)&amp;""</f>
        <v/>
      </c>
      <c r="K176" s="4">
        <f>IF($I176='Auto Responses'!$J$11,20,IF($I176='Auto Responses'!$J$13,5,10))</f>
        <v>5</v>
      </c>
      <c r="L176" s="107">
        <f>IF($E176='Auto Responses'!$L$13, 'Auto Responses'!$J$5,IF(AND($D176='Auto Responses'!$J$27,$H176=""),'Auto Responses'!$J$5,IF(AND($D176='Auto Responses'!$J$27,$H176='Auto Responses'!$J$7),1,IF(AND($D176='Auto Responses'!$J$27,$H176='Auto Responses'!$J$8),0,IF(OR(AND($F176=$G176,$H176=""),$H176='Auto Responses'!$J$7),1,0)))))</f>
        <v>0</v>
      </c>
      <c r="M176" s="4" t="str">
        <f>VLOOKUP($A176,'Institution Evaluation'!$A$56:$K$345,11,0)&amp;""</f>
        <v>FALSE</v>
      </c>
      <c r="N176" s="4">
        <f>IF($J176='Auto Responses'!$J$11,1,IF(AND($J176="",$I176='Auto Responses'!$J$11),1,0))</f>
        <v>0</v>
      </c>
      <c r="O176" s="107">
        <f>IF(OR($E176='Auto Responses'!$L$13,$F176='Auto Responses'!$J$5),'Auto Responses'!$J$5,IF($J176="",$K176,IF($J176='Auto Responses'!$J$13,5,IF($J176='Auto Responses'!$J$12,10,IF($J176='Auto Responses'!$J$11,20,0)))))</f>
        <v>5</v>
      </c>
      <c r="P176" s="107">
        <f>IF(OR($O176='Auto Responses'!$J$5,$L176='Auto Responses'!$J$5),'Auto Responses'!$J$5,$O176*$L176)</f>
        <v>0</v>
      </c>
      <c r="Q176" s="107">
        <f t="shared" si="14"/>
        <v>0</v>
      </c>
      <c r="R176" s="107">
        <f t="shared" si="19"/>
        <v>0</v>
      </c>
      <c r="S176" s="107">
        <f t="shared" si="15"/>
        <v>0</v>
      </c>
      <c r="T176" s="107">
        <f t="shared" si="16"/>
        <v>0</v>
      </c>
      <c r="U176" s="107">
        <f t="shared" si="20"/>
        <v>52</v>
      </c>
      <c r="V176" s="107">
        <f t="shared" si="17"/>
        <v>0</v>
      </c>
    </row>
    <row r="177" spans="1:22" ht="57" x14ac:dyDescent="0.2">
      <c r="A177" s="4" t="str">
        <f>Questions!$A177</f>
        <v>HFIH-01</v>
      </c>
      <c r="B177" s="4" t="str">
        <f t="shared" si="18"/>
        <v>HFIH</v>
      </c>
      <c r="C177" s="4" t="str">
        <f>VLOOKUP($A177,Questions!$A$3:$L$333,2,0)&amp;""</f>
        <v>Do you have a formal incident response plan?</v>
      </c>
      <c r="D177" s="4" t="str">
        <f>VLOOKUP($A177,Questions!$A$3:$L$333,11,0)&amp;""</f>
        <v/>
      </c>
      <c r="E177" s="4" t="str">
        <f>VLOOKUP($A177,Questions!$A$3:$L$333,12,0)&amp;""</f>
        <v>Infrastructure</v>
      </c>
      <c r="F177" s="4" t="str">
        <f>VLOOKUP($A177,'Institution Evaluation'!$A$56:$K$345,3,0)&amp;""</f>
        <v/>
      </c>
      <c r="G177" s="4" t="str">
        <f>VLOOKUP($A177,'Institution Evaluation'!$A$56:$K$345,7,0)&amp;""</f>
        <v>Yes</v>
      </c>
      <c r="H177" s="4" t="str">
        <f>VLOOKUP($A177,'Institution Evaluation'!$A$56:$K$345,8,0)&amp;""</f>
        <v/>
      </c>
      <c r="I177" s="4" t="str">
        <f>VLOOKUP($A177,'Institution Evaluation'!$A$56:$K$345,9,0)&amp;""</f>
        <v>Standard Importance</v>
      </c>
      <c r="J177" s="4" t="str">
        <f>VLOOKUP($A177,'Institution Evaluation'!$A$56:$K$345,10,0)&amp;""</f>
        <v/>
      </c>
      <c r="K177" s="4">
        <f>IF($I177='Auto Responses'!$J$11,20,IF($I177='Auto Responses'!$J$13,5,10))</f>
        <v>10</v>
      </c>
      <c r="L177" s="107">
        <f>IF($E177='Auto Responses'!$L$13, 'Auto Responses'!$J$5,IF(AND($D177='Auto Responses'!$J$27,$H177=""),'Auto Responses'!$J$5,IF(AND($D177='Auto Responses'!$J$27,$H177='Auto Responses'!$J$7),1,IF(AND($D177='Auto Responses'!$J$27,$H177='Auto Responses'!$J$8),0,IF(OR(AND($F177=$G177,$H177=""),$H177='Auto Responses'!$J$7),1,0)))))</f>
        <v>0</v>
      </c>
      <c r="M177" s="4" t="str">
        <f>VLOOKUP($A177,'Institution Evaluation'!$A$56:$K$345,11,0)&amp;""</f>
        <v>FALSE</v>
      </c>
      <c r="N177" s="4">
        <f>IF($J177='Auto Responses'!$J$11,1,IF(AND($J177="",$I177='Auto Responses'!$J$11),1,0))</f>
        <v>0</v>
      </c>
      <c r="O177" s="107">
        <f>IF(OR($F$17='Auto Responses'!$J$4,$E177='Auto Responses'!$L$13,$F177='Auto Responses'!$J$5),'Auto Responses'!$J$5,IF($J177="",$K177,IF($J177='Auto Responses'!$J$13,5,IF($J177='Auto Responses'!$J$12,10,IF($J177='Auto Responses'!$J$11,20,0)))))</f>
        <v>10</v>
      </c>
      <c r="P177" s="107">
        <f>IF(OR($O177='Auto Responses'!$J$5,$L177='Auto Responses'!$J$5),'Auto Responses'!$J$5,$O177*$L177)</f>
        <v>0</v>
      </c>
      <c r="Q177" s="107">
        <f t="shared" si="14"/>
        <v>0</v>
      </c>
      <c r="R177" s="107">
        <f t="shared" si="19"/>
        <v>0</v>
      </c>
      <c r="S177" s="107">
        <f t="shared" si="15"/>
        <v>0</v>
      </c>
      <c r="T177" s="107">
        <f t="shared" si="16"/>
        <v>0</v>
      </c>
      <c r="U177" s="107">
        <f t="shared" si="20"/>
        <v>52</v>
      </c>
      <c r="V177" s="107">
        <f t="shared" si="17"/>
        <v>0</v>
      </c>
    </row>
    <row r="178" spans="1:22" ht="57" x14ac:dyDescent="0.2">
      <c r="A178" s="4" t="str">
        <f>Questions!$A178</f>
        <v>HFIH-02</v>
      </c>
      <c r="B178" s="4" t="str">
        <f t="shared" si="18"/>
        <v>HFIH</v>
      </c>
      <c r="C178" s="4" t="str">
        <f>VLOOKUP($A178,Questions!$A$3:$L$333,2,0)&amp;""</f>
        <v>Do you either have an internal incident response team or retain an external team?</v>
      </c>
      <c r="D178" s="4" t="str">
        <f>VLOOKUP($A178,Questions!$A$3:$L$333,11,0)&amp;""</f>
        <v/>
      </c>
      <c r="E178" s="4" t="str">
        <f>VLOOKUP($A178,Questions!$A$3:$L$333,12,0)&amp;""</f>
        <v>Infrastructure</v>
      </c>
      <c r="F178" s="4" t="str">
        <f>VLOOKUP($A178,'Institution Evaluation'!$A$56:$K$345,3,0)&amp;""</f>
        <v/>
      </c>
      <c r="G178" s="4" t="str">
        <f>VLOOKUP($A178,'Institution Evaluation'!$A$56:$K$345,7,0)&amp;""</f>
        <v>Yes</v>
      </c>
      <c r="H178" s="4" t="str">
        <f>VLOOKUP($A178,'Institution Evaluation'!$A$56:$K$345,8,0)&amp;""</f>
        <v/>
      </c>
      <c r="I178" s="4" t="str">
        <f>VLOOKUP($A178,'Institution Evaluation'!$A$56:$K$345,9,0)&amp;""</f>
        <v>Minor Importance</v>
      </c>
      <c r="J178" s="4" t="str">
        <f>VLOOKUP($A178,'Institution Evaluation'!$A$56:$K$345,10,0)&amp;""</f>
        <v/>
      </c>
      <c r="K178" s="4">
        <f>IF($I178='Auto Responses'!$J$11,20,IF($I178='Auto Responses'!$J$13,5,10))</f>
        <v>5</v>
      </c>
      <c r="L178" s="107">
        <f>IF($E178='Auto Responses'!$L$13, 'Auto Responses'!$J$5,IF(AND($D178='Auto Responses'!$J$27,$H178=""),'Auto Responses'!$J$5,IF(AND($D178='Auto Responses'!$J$27,$H178='Auto Responses'!$J$7),1,IF(AND($D178='Auto Responses'!$J$27,$H178='Auto Responses'!$J$8),0,IF(OR(AND($F178=$G178,$H178=""),$H178='Auto Responses'!$J$7),1,0)))))</f>
        <v>0</v>
      </c>
      <c r="M178" s="4" t="str">
        <f>VLOOKUP($A178,'Institution Evaluation'!$A$56:$K$345,11,0)&amp;""</f>
        <v>FALSE</v>
      </c>
      <c r="N178" s="4">
        <f>IF($J178='Auto Responses'!$J$11,1,IF(AND($J178="",$I178='Auto Responses'!$J$11),1,0))</f>
        <v>0</v>
      </c>
      <c r="O178" s="107">
        <f>IF(OR($F$17='Auto Responses'!$J$4,$E178='Auto Responses'!$L$13,$F178='Auto Responses'!$J$5),'Auto Responses'!$J$5,IF($J178="",$K178,IF($J178='Auto Responses'!$J$13,5,IF($J178='Auto Responses'!$J$12,10,IF($J178='Auto Responses'!$J$11,20,0)))))</f>
        <v>5</v>
      </c>
      <c r="P178" s="107">
        <f>IF(OR($O178='Auto Responses'!$J$5,$L178='Auto Responses'!$J$5),'Auto Responses'!$J$5,$O178*$L178)</f>
        <v>0</v>
      </c>
      <c r="Q178" s="107">
        <f t="shared" si="14"/>
        <v>0</v>
      </c>
      <c r="R178" s="107">
        <f t="shared" si="19"/>
        <v>0</v>
      </c>
      <c r="S178" s="107">
        <f t="shared" si="15"/>
        <v>0</v>
      </c>
      <c r="T178" s="107">
        <f t="shared" si="16"/>
        <v>0</v>
      </c>
      <c r="U178" s="107">
        <f t="shared" si="20"/>
        <v>52</v>
      </c>
      <c r="V178" s="107">
        <f t="shared" si="17"/>
        <v>0</v>
      </c>
    </row>
    <row r="179" spans="1:22" ht="57" x14ac:dyDescent="0.2">
      <c r="A179" s="4" t="str">
        <f>Questions!$A179</f>
        <v>HFIH-03</v>
      </c>
      <c r="B179" s="4" t="str">
        <f t="shared" si="18"/>
        <v>HFIH</v>
      </c>
      <c r="C179" s="4" t="str">
        <f>VLOOKUP($A179,Questions!$A$3:$L$333,2,0)&amp;""</f>
        <v>Do you have the capability to respond to incidents on a 24 x 7 x 365 basis?</v>
      </c>
      <c r="D179" s="4" t="str">
        <f>VLOOKUP($A179,Questions!$A$3:$L$333,11,0)&amp;""</f>
        <v/>
      </c>
      <c r="E179" s="4" t="str">
        <f>VLOOKUP($A179,Questions!$A$3:$L$333,12,0)&amp;""</f>
        <v>Infrastructure</v>
      </c>
      <c r="F179" s="4" t="str">
        <f>VLOOKUP($A179,'Institution Evaluation'!$A$56:$K$345,3,0)&amp;""</f>
        <v/>
      </c>
      <c r="G179" s="4" t="str">
        <f>VLOOKUP($A179,'Institution Evaluation'!$A$56:$K$345,7,0)&amp;""</f>
        <v>Yes</v>
      </c>
      <c r="H179" s="4" t="str">
        <f>VLOOKUP($A179,'Institution Evaluation'!$A$56:$K$345,8,0)&amp;""</f>
        <v/>
      </c>
      <c r="I179" s="4" t="str">
        <f>VLOOKUP($A179,'Institution Evaluation'!$A$56:$K$345,9,0)&amp;""</f>
        <v>Minor Importance</v>
      </c>
      <c r="J179" s="4" t="str">
        <f>VLOOKUP($A179,'Institution Evaluation'!$A$56:$K$345,10,0)&amp;""</f>
        <v/>
      </c>
      <c r="K179" s="4">
        <f>IF($I179='Auto Responses'!$J$11,20,IF($I179='Auto Responses'!$J$13,5,10))</f>
        <v>5</v>
      </c>
      <c r="L179" s="107">
        <f>IF($E179='Auto Responses'!$L$13, 'Auto Responses'!$J$5,IF(AND($D179='Auto Responses'!$J$27,$H179=""),'Auto Responses'!$J$5,IF(AND($D179='Auto Responses'!$J$27,$H179='Auto Responses'!$J$7),1,IF(AND($D179='Auto Responses'!$J$27,$H179='Auto Responses'!$J$8),0,IF(OR(AND($F179=$G179,$H179=""),$H179='Auto Responses'!$J$7),1,0)))))</f>
        <v>0</v>
      </c>
      <c r="M179" s="4" t="str">
        <f>VLOOKUP($A179,'Institution Evaluation'!$A$56:$K$345,11,0)&amp;""</f>
        <v>FALSE</v>
      </c>
      <c r="N179" s="4">
        <f>IF($J179='Auto Responses'!$J$11,1,IF(AND($J179="",$I179='Auto Responses'!$J$11),1,0))</f>
        <v>0</v>
      </c>
      <c r="O179" s="107">
        <f>IF(OR($F$17='Auto Responses'!$J$4,$E179='Auto Responses'!$L$13,$F179='Auto Responses'!$J$5),'Auto Responses'!$J$5,IF($J179="",$K179,IF($J179='Auto Responses'!$J$13,5,IF($J179='Auto Responses'!$J$12,10,IF($J179='Auto Responses'!$J$11,20,0)))))</f>
        <v>5</v>
      </c>
      <c r="P179" s="107">
        <f>IF(OR($O179='Auto Responses'!$J$5,$L179='Auto Responses'!$J$5),'Auto Responses'!$J$5,$O179*$L179)</f>
        <v>0</v>
      </c>
      <c r="Q179" s="107">
        <f t="shared" si="14"/>
        <v>0</v>
      </c>
      <c r="R179" s="107">
        <f t="shared" si="19"/>
        <v>0</v>
      </c>
      <c r="S179" s="107">
        <f t="shared" si="15"/>
        <v>0</v>
      </c>
      <c r="T179" s="107">
        <f t="shared" si="16"/>
        <v>0</v>
      </c>
      <c r="U179" s="107">
        <f t="shared" si="20"/>
        <v>52</v>
      </c>
      <c r="V179" s="107">
        <f t="shared" si="17"/>
        <v>0</v>
      </c>
    </row>
    <row r="180" spans="1:22" ht="57" x14ac:dyDescent="0.2">
      <c r="A180" s="4" t="str">
        <f>Questions!$A180</f>
        <v>HFIH-04</v>
      </c>
      <c r="B180" s="4" t="str">
        <f t="shared" si="18"/>
        <v>HFIH</v>
      </c>
      <c r="C180" s="4" t="str">
        <f>VLOOKUP($A180,Questions!$A$3:$L$333,2,0)&amp;""</f>
        <v>Do you carry cyber-risk insurance to protect against unforeseen service outages, data that is lost or stolen, and security incidents?</v>
      </c>
      <c r="D180" s="4" t="str">
        <f>VLOOKUP($A180,Questions!$A$3:$L$333,11,0)&amp;""</f>
        <v/>
      </c>
      <c r="E180" s="4" t="str">
        <f>VLOOKUP($A180,Questions!$A$3:$L$333,12,0)&amp;""</f>
        <v>Infrastructure</v>
      </c>
      <c r="F180" s="4" t="str">
        <f>VLOOKUP($A180,'Institution Evaluation'!$A$56:$K$345,3,0)&amp;""</f>
        <v/>
      </c>
      <c r="G180" s="4" t="str">
        <f>VLOOKUP($A180,'Institution Evaluation'!$A$56:$K$345,7,0)&amp;""</f>
        <v>Yes</v>
      </c>
      <c r="H180" s="4" t="str">
        <f>VLOOKUP($A180,'Institution Evaluation'!$A$56:$K$345,8,0)&amp;""</f>
        <v/>
      </c>
      <c r="I180" s="4" t="str">
        <f>VLOOKUP($A180,'Institution Evaluation'!$A$56:$K$345,9,0)&amp;""</f>
        <v>Minor Importance</v>
      </c>
      <c r="J180" s="4" t="str">
        <f>VLOOKUP($A180,'Institution Evaluation'!$A$56:$K$345,10,0)&amp;""</f>
        <v/>
      </c>
      <c r="K180" s="4">
        <f>IF($I180='Auto Responses'!$J$11,20,IF($I180='Auto Responses'!$J$13,5,10))</f>
        <v>5</v>
      </c>
      <c r="L180" s="107">
        <f>IF($E180='Auto Responses'!$L$13, 'Auto Responses'!$J$5,IF(AND($D180='Auto Responses'!$J$27,$H180=""),'Auto Responses'!$J$5,IF(AND($D180='Auto Responses'!$J$27,$H180='Auto Responses'!$J$7),1,IF(AND($D180='Auto Responses'!$J$27,$H180='Auto Responses'!$J$8),0,IF(OR(AND($F180=$G180,$H180=""),$H180='Auto Responses'!$J$7),1,0)))))</f>
        <v>0</v>
      </c>
      <c r="M180" s="4" t="str">
        <f>VLOOKUP($A180,'Institution Evaluation'!$A$56:$K$345,11,0)&amp;""</f>
        <v>FALSE</v>
      </c>
      <c r="N180" s="4">
        <f>IF($J180='Auto Responses'!$J$11,1,IF(AND($J180="",$I180='Auto Responses'!$J$11),1,0))</f>
        <v>0</v>
      </c>
      <c r="O180" s="107">
        <f>IF(OR($F$17='Auto Responses'!$J$4,$E180='Auto Responses'!$L$13,$F180='Auto Responses'!$J$5),'Auto Responses'!$J$5,IF($J180="",$K180,IF($J180='Auto Responses'!$J$13,5,IF($J180='Auto Responses'!$J$12,10,IF($J180='Auto Responses'!$J$11,20,0)))))</f>
        <v>5</v>
      </c>
      <c r="P180" s="107">
        <f>IF(OR($O180='Auto Responses'!$J$5,$L180='Auto Responses'!$J$5),'Auto Responses'!$J$5,$O180*$L180)</f>
        <v>0</v>
      </c>
      <c r="Q180" s="107">
        <f t="shared" si="14"/>
        <v>0</v>
      </c>
      <c r="R180" s="107">
        <f t="shared" si="19"/>
        <v>0</v>
      </c>
      <c r="S180" s="107">
        <f t="shared" si="15"/>
        <v>0</v>
      </c>
      <c r="T180" s="107">
        <f t="shared" si="16"/>
        <v>0</v>
      </c>
      <c r="U180" s="107">
        <f t="shared" si="20"/>
        <v>52</v>
      </c>
      <c r="V180" s="107">
        <f t="shared" si="17"/>
        <v>0</v>
      </c>
    </row>
    <row r="181" spans="1:22" ht="57" x14ac:dyDescent="0.2">
      <c r="A181" s="4" t="str">
        <f>Questions!$A181</f>
        <v>VULN-01</v>
      </c>
      <c r="B181" s="4" t="str">
        <f t="shared" si="18"/>
        <v>VULN</v>
      </c>
      <c r="C181" s="4" t="str">
        <f>VLOOKUP($A181,Questions!$A$3:$L$333,2,0)&amp;""</f>
        <v>Are your systems and applications scanned with an authenticated user account for vulnerabilities (that are remediated) prior to new releases?*</v>
      </c>
      <c r="D181" s="4" t="str">
        <f>VLOOKUP($A181,Questions!$A$3:$L$333,11,0)&amp;""</f>
        <v/>
      </c>
      <c r="E181" s="4" t="str">
        <f>VLOOKUP($A181,Questions!$A$3:$L$333,12,0)&amp;""</f>
        <v>Infrastructure</v>
      </c>
      <c r="F181" s="4" t="str">
        <f>VLOOKUP($A181,'Institution Evaluation'!$A$56:$K$345,3,0)&amp;""</f>
        <v/>
      </c>
      <c r="G181" s="4" t="str">
        <f>VLOOKUP($A181,'Institution Evaluation'!$A$56:$K$345,7,0)&amp;""</f>
        <v>Yes</v>
      </c>
      <c r="H181" s="4" t="str">
        <f>VLOOKUP($A181,'Institution Evaluation'!$A$56:$K$345,8,0)&amp;""</f>
        <v/>
      </c>
      <c r="I181" s="4" t="str">
        <f>VLOOKUP($A181,'Institution Evaluation'!$A$56:$K$345,9,0)&amp;""</f>
        <v>Critical Importance</v>
      </c>
      <c r="J181" s="4" t="str">
        <f>VLOOKUP($A181,'Institution Evaluation'!$A$56:$K$345,10,0)&amp;""</f>
        <v/>
      </c>
      <c r="K181" s="4">
        <f>IF($I181='Auto Responses'!$J$11,20,IF($I181='Auto Responses'!$J$13,5,10))</f>
        <v>20</v>
      </c>
      <c r="L181" s="107">
        <f>IF($E181='Auto Responses'!$L$13, 'Auto Responses'!$J$5,IF(AND($D181='Auto Responses'!$J$27,$H181=""),'Auto Responses'!$J$5,IF(AND($D181='Auto Responses'!$J$27,$H181='Auto Responses'!$J$7),1,IF(AND($D181='Auto Responses'!$J$27,$H181='Auto Responses'!$J$8),0,IF(OR(AND($F181=$G181,$H181=""),$H181='Auto Responses'!$J$7),1,0)))))</f>
        <v>0</v>
      </c>
      <c r="M181" s="4" t="str">
        <f>VLOOKUP($A181,'Institution Evaluation'!$A$56:$K$345,11,0)&amp;""</f>
        <v>FALSE</v>
      </c>
      <c r="N181" s="4">
        <f>IF($J181='Auto Responses'!$J$11,1,IF(AND($J181="",$I181='Auto Responses'!$J$11),1,0))</f>
        <v>1</v>
      </c>
      <c r="O181" s="107">
        <f>IF(OR($F$17='Auto Responses'!$J$4,$E181='Auto Responses'!$L$13,$F181='Auto Responses'!$J$5),'Auto Responses'!$J$5,IF($J181="",$K181,IF($J181='Auto Responses'!$J$13,5,IF($J181='Auto Responses'!$J$12,10,IF($J181='Auto Responses'!$J$11,20,0)))))</f>
        <v>20</v>
      </c>
      <c r="P181" s="107">
        <f>IF(OR($O181='Auto Responses'!$J$5,$L181='Auto Responses'!$J$5),'Auto Responses'!$J$5,$O181*$L181)</f>
        <v>0</v>
      </c>
      <c r="Q181" s="107">
        <f t="shared" si="14"/>
        <v>0</v>
      </c>
      <c r="R181" s="107">
        <f t="shared" si="19"/>
        <v>0</v>
      </c>
      <c r="S181" s="107">
        <f t="shared" si="15"/>
        <v>0</v>
      </c>
      <c r="T181" s="107">
        <f t="shared" si="16"/>
        <v>1</v>
      </c>
      <c r="U181" s="107">
        <f t="shared" si="20"/>
        <v>53</v>
      </c>
      <c r="V181" s="107">
        <f t="shared" si="17"/>
        <v>53</v>
      </c>
    </row>
    <row r="182" spans="1:22" ht="57" x14ac:dyDescent="0.2">
      <c r="A182" s="4" t="str">
        <f>Questions!$A182</f>
        <v>VULN-02</v>
      </c>
      <c r="B182" s="4" t="str">
        <f t="shared" si="18"/>
        <v>VULN</v>
      </c>
      <c r="C182" s="4" t="str">
        <f>VLOOKUP($A182,Questions!$A$3:$L$333,2,0)&amp;""</f>
        <v>Will you provide results of application and system vulnerability scans to the institution?*</v>
      </c>
      <c r="D182" s="4" t="str">
        <f>VLOOKUP($A182,Questions!$A$3:$L$333,11,0)&amp;""</f>
        <v/>
      </c>
      <c r="E182" s="4" t="str">
        <f>VLOOKUP($A182,Questions!$A$3:$L$333,12,0)&amp;""</f>
        <v>Infrastructure</v>
      </c>
      <c r="F182" s="4" t="str">
        <f>VLOOKUP($A182,'Institution Evaluation'!$A$56:$K$345,3,0)&amp;""</f>
        <v/>
      </c>
      <c r="G182" s="4" t="str">
        <f>VLOOKUP($A182,'Institution Evaluation'!$A$56:$K$345,7,0)&amp;""</f>
        <v>Yes</v>
      </c>
      <c r="H182" s="4" t="str">
        <f>VLOOKUP($A182,'Institution Evaluation'!$A$56:$K$345,8,0)&amp;""</f>
        <v/>
      </c>
      <c r="I182" s="4" t="str">
        <f>VLOOKUP($A182,'Institution Evaluation'!$A$56:$K$345,9,0)&amp;""</f>
        <v>Critical Importance</v>
      </c>
      <c r="J182" s="4" t="str">
        <f>VLOOKUP($A182,'Institution Evaluation'!$A$56:$K$345,10,0)&amp;""</f>
        <v/>
      </c>
      <c r="K182" s="4">
        <f>IF($I182='Auto Responses'!$J$11,20,IF($I182='Auto Responses'!$J$13,5,10))</f>
        <v>20</v>
      </c>
      <c r="L182" s="107">
        <f>IF($E182='Auto Responses'!$L$13, 'Auto Responses'!$J$5,IF(AND($D182='Auto Responses'!$J$27,$H182=""),'Auto Responses'!$J$5,IF(AND($D182='Auto Responses'!$J$27,$H182='Auto Responses'!$J$7),1,IF(AND($D182='Auto Responses'!$J$27,$H182='Auto Responses'!$J$8),0,IF(OR(AND($F182=$G182,$H182=""),$H182='Auto Responses'!$J$7),1,0)))))</f>
        <v>0</v>
      </c>
      <c r="M182" s="4" t="str">
        <f>VLOOKUP($A182,'Institution Evaluation'!$A$56:$K$345,11,0)&amp;""</f>
        <v>FALSE</v>
      </c>
      <c r="N182" s="4">
        <f>IF($J182='Auto Responses'!$J$11,1,IF(AND($J182="",$I182='Auto Responses'!$J$11),1,0))</f>
        <v>1</v>
      </c>
      <c r="O182" s="107">
        <f>IF(OR($F$17='Auto Responses'!$J$4,$E182='Auto Responses'!$L$13,$F182='Auto Responses'!$J$5),'Auto Responses'!$J$5,IF($J182="",$K182,IF($J182='Auto Responses'!$J$13,5,IF($J182='Auto Responses'!$J$12,10,IF($J182='Auto Responses'!$J$11,20,0)))))</f>
        <v>20</v>
      </c>
      <c r="P182" s="107">
        <f>IF(OR($O182='Auto Responses'!$J$5,$L182='Auto Responses'!$J$5),'Auto Responses'!$J$5,$O182*$L182)</f>
        <v>0</v>
      </c>
      <c r="Q182" s="107">
        <f t="shared" si="14"/>
        <v>0</v>
      </c>
      <c r="R182" s="107">
        <f t="shared" si="19"/>
        <v>0</v>
      </c>
      <c r="S182" s="107">
        <f t="shared" si="15"/>
        <v>0</v>
      </c>
      <c r="T182" s="107">
        <f t="shared" si="16"/>
        <v>1</v>
      </c>
      <c r="U182" s="107">
        <f t="shared" si="20"/>
        <v>54</v>
      </c>
      <c r="V182" s="107">
        <f t="shared" si="17"/>
        <v>54</v>
      </c>
    </row>
    <row r="183" spans="1:22" ht="57" x14ac:dyDescent="0.2">
      <c r="A183" s="4" t="str">
        <f>Questions!$A183</f>
        <v>VULN-03</v>
      </c>
      <c r="B183" s="4" t="str">
        <f t="shared" si="18"/>
        <v>VULN</v>
      </c>
      <c r="C183" s="4" t="str">
        <f>VLOOKUP($A183,Questions!$A$3:$L$333,2,0)&amp;""</f>
        <v>Will you allow the institution to perform its own vulnerability testing and/or scanning of your systems and/or application, provided that testing is performed at a mutually agreed upon time and date?*</v>
      </c>
      <c r="D183" s="4" t="str">
        <f>VLOOKUP($A183,Questions!$A$3:$L$333,11,0)&amp;""</f>
        <v/>
      </c>
      <c r="E183" s="4" t="str">
        <f>VLOOKUP($A183,Questions!$A$3:$L$333,12,0)&amp;""</f>
        <v>Infrastructure</v>
      </c>
      <c r="F183" s="4" t="str">
        <f>VLOOKUP($A183,'Institution Evaluation'!$A$56:$K$345,3,0)&amp;""</f>
        <v/>
      </c>
      <c r="G183" s="4" t="str">
        <f>VLOOKUP($A183,'Institution Evaluation'!$A$56:$K$345,7,0)&amp;""</f>
        <v>Yes</v>
      </c>
      <c r="H183" s="4" t="str">
        <f>VLOOKUP($A183,'Institution Evaluation'!$A$56:$K$345,8,0)&amp;""</f>
        <v/>
      </c>
      <c r="I183" s="4" t="str">
        <f>VLOOKUP($A183,'Institution Evaluation'!$A$56:$K$345,9,0)&amp;""</f>
        <v>Critical Importance</v>
      </c>
      <c r="J183" s="4" t="str">
        <f>VLOOKUP($A183,'Institution Evaluation'!$A$56:$K$345,10,0)&amp;""</f>
        <v/>
      </c>
      <c r="K183" s="4">
        <f>IF($I183='Auto Responses'!$J$11,20,IF($I183='Auto Responses'!$J$13,5,10))</f>
        <v>20</v>
      </c>
      <c r="L183" s="107">
        <f>IF($E183='Auto Responses'!$L$13, 'Auto Responses'!$J$5,IF(AND($D183='Auto Responses'!$J$27,$H183=""),'Auto Responses'!$J$5,IF(AND($D183='Auto Responses'!$J$27,$H183='Auto Responses'!$J$7),1,IF(AND($D183='Auto Responses'!$J$27,$H183='Auto Responses'!$J$8),0,IF(OR(AND($F183=$G183,$H183=""),$H183='Auto Responses'!$J$7),1,0)))))</f>
        <v>0</v>
      </c>
      <c r="M183" s="4" t="str">
        <f>VLOOKUP($A183,'Institution Evaluation'!$A$56:$K$345,11,0)&amp;""</f>
        <v>FALSE</v>
      </c>
      <c r="N183" s="4">
        <f>IF($J183='Auto Responses'!$J$11,1,IF(AND($J183="",$I183='Auto Responses'!$J$11),1,0))</f>
        <v>1</v>
      </c>
      <c r="O183" s="107">
        <f>IF(OR($F$17='Auto Responses'!$J$4,$E183='Auto Responses'!$L$13,$F183='Auto Responses'!$J$5),'Auto Responses'!$J$5,IF($J183="",$K183,IF($J183='Auto Responses'!$J$13,5,IF($J183='Auto Responses'!$J$12,10,IF($J183='Auto Responses'!$J$11,20,0)))))</f>
        <v>20</v>
      </c>
      <c r="P183" s="107">
        <f>IF(OR($O183='Auto Responses'!$J$5,$L183='Auto Responses'!$J$5),'Auto Responses'!$J$5,$O183*$L183)</f>
        <v>0</v>
      </c>
      <c r="Q183" s="107">
        <f t="shared" si="14"/>
        <v>0</v>
      </c>
      <c r="R183" s="107">
        <f t="shared" si="19"/>
        <v>0</v>
      </c>
      <c r="S183" s="107">
        <f t="shared" si="15"/>
        <v>0</v>
      </c>
      <c r="T183" s="107">
        <f t="shared" si="16"/>
        <v>1</v>
      </c>
      <c r="U183" s="107">
        <f t="shared" si="20"/>
        <v>55</v>
      </c>
      <c r="V183" s="107">
        <f t="shared" si="17"/>
        <v>55</v>
      </c>
    </row>
    <row r="184" spans="1:22" ht="57" x14ac:dyDescent="0.2">
      <c r="A184" s="4" t="str">
        <f>Questions!$A184</f>
        <v>VULN-04</v>
      </c>
      <c r="B184" s="4" t="str">
        <f t="shared" si="18"/>
        <v>VULN</v>
      </c>
      <c r="C184" s="4" t="str">
        <f>VLOOKUP($A184,Questions!$A$3:$L$333,2,0)&amp;""</f>
        <v>Have your systems and applications had a third-party security assessment completed in the last year?</v>
      </c>
      <c r="D184" s="4" t="str">
        <f>VLOOKUP($A184,Questions!$A$3:$L$333,11,0)&amp;""</f>
        <v/>
      </c>
      <c r="E184" s="4" t="str">
        <f>VLOOKUP($A184,Questions!$A$3:$L$333,12,0)&amp;""</f>
        <v>Infrastructure</v>
      </c>
      <c r="F184" s="4" t="str">
        <f>VLOOKUP($A184,'Institution Evaluation'!$A$56:$K$345,3,0)&amp;""</f>
        <v/>
      </c>
      <c r="G184" s="4" t="str">
        <f>VLOOKUP($A184,'Institution Evaluation'!$A$56:$K$345,7,0)&amp;""</f>
        <v>Yes</v>
      </c>
      <c r="H184" s="4" t="str">
        <f>VLOOKUP($A184,'Institution Evaluation'!$A$56:$K$345,8,0)&amp;""</f>
        <v/>
      </c>
      <c r="I184" s="4" t="str">
        <f>VLOOKUP($A184,'Institution Evaluation'!$A$56:$K$345,9,0)&amp;""</f>
        <v>Standard Importance</v>
      </c>
      <c r="J184" s="4" t="str">
        <f>VLOOKUP($A184,'Institution Evaluation'!$A$56:$K$345,10,0)&amp;""</f>
        <v/>
      </c>
      <c r="K184" s="4">
        <f>IF($I184='Auto Responses'!$J$11,20,IF($I184='Auto Responses'!$J$13,5,10))</f>
        <v>10</v>
      </c>
      <c r="L184" s="107">
        <f>IF($E184='Auto Responses'!$L$13, 'Auto Responses'!$J$5,IF(AND($D184='Auto Responses'!$J$27,$H184=""),'Auto Responses'!$J$5,IF(AND($D184='Auto Responses'!$J$27,$H184='Auto Responses'!$J$7),1,IF(AND($D184='Auto Responses'!$J$27,$H184='Auto Responses'!$J$8),0,IF(OR(AND($F184=$G184,$H184=""),$H184='Auto Responses'!$J$7),1,0)))))</f>
        <v>0</v>
      </c>
      <c r="M184" s="4" t="str">
        <f>VLOOKUP($A184,'Institution Evaluation'!$A$56:$K$345,11,0)&amp;""</f>
        <v>FALSE</v>
      </c>
      <c r="N184" s="4">
        <f>IF($J184='Auto Responses'!$J$11,1,IF(AND($J184="",$I184='Auto Responses'!$J$11),1,0))</f>
        <v>0</v>
      </c>
      <c r="O184" s="107">
        <f>IF(OR($F$17='Auto Responses'!$J$4,$E184='Auto Responses'!$L$13,$F184='Auto Responses'!$J$5),'Auto Responses'!$J$5,IF($J184="",$K184,IF($J184='Auto Responses'!$J$13,5,IF($J184='Auto Responses'!$J$12,10,IF($J184='Auto Responses'!$J$11,20,0)))))</f>
        <v>10</v>
      </c>
      <c r="P184" s="107">
        <f>IF(OR($O184='Auto Responses'!$J$5,$L184='Auto Responses'!$J$5),'Auto Responses'!$J$5,$O184*$L184)</f>
        <v>0</v>
      </c>
      <c r="Q184" s="107">
        <f t="shared" si="14"/>
        <v>0</v>
      </c>
      <c r="R184" s="107">
        <f t="shared" si="19"/>
        <v>0</v>
      </c>
      <c r="S184" s="107">
        <f t="shared" si="15"/>
        <v>0</v>
      </c>
      <c r="T184" s="107">
        <f t="shared" si="16"/>
        <v>0</v>
      </c>
      <c r="U184" s="107">
        <f t="shared" si="20"/>
        <v>55</v>
      </c>
      <c r="V184" s="107">
        <f t="shared" si="17"/>
        <v>0</v>
      </c>
    </row>
    <row r="185" spans="1:22" ht="57" x14ac:dyDescent="0.2">
      <c r="A185" s="4" t="str">
        <f>Questions!$A185</f>
        <v>VULN-05</v>
      </c>
      <c r="B185" s="4" t="str">
        <f t="shared" si="18"/>
        <v>VULN</v>
      </c>
      <c r="C185" s="4" t="str">
        <f>VLOOKUP($A185,Questions!$A$3:$L$333,2,0)&amp;""</f>
        <v>Do you regularly scan for common web application security vulnerabilities (e.g., SQL injection, XSS, XSRF, etc.)?</v>
      </c>
      <c r="D185" s="4" t="str">
        <f>VLOOKUP($A185,Questions!$A$3:$L$333,11,0)&amp;""</f>
        <v/>
      </c>
      <c r="E185" s="4" t="str">
        <f>VLOOKUP($A185,Questions!$A$3:$L$333,12,0)&amp;""</f>
        <v>Infrastructure</v>
      </c>
      <c r="F185" s="4" t="str">
        <f>VLOOKUP($A185,'Institution Evaluation'!$A$56:$K$345,3,0)&amp;""</f>
        <v/>
      </c>
      <c r="G185" s="4" t="str">
        <f>VLOOKUP($A185,'Institution Evaluation'!$A$56:$K$345,7,0)&amp;""</f>
        <v>Yes</v>
      </c>
      <c r="H185" s="4" t="str">
        <f>VLOOKUP($A185,'Institution Evaluation'!$A$56:$K$345,8,0)&amp;""</f>
        <v/>
      </c>
      <c r="I185" s="4" t="str">
        <f>VLOOKUP($A185,'Institution Evaluation'!$A$56:$K$345,9,0)&amp;""</f>
        <v>Standard Importance</v>
      </c>
      <c r="J185" s="4" t="str">
        <f>VLOOKUP($A185,'Institution Evaluation'!$A$56:$K$345,10,0)&amp;""</f>
        <v/>
      </c>
      <c r="K185" s="4">
        <f>IF($I185='Auto Responses'!$J$11,20,IF($I185='Auto Responses'!$J$13,5,10))</f>
        <v>10</v>
      </c>
      <c r="L185" s="107">
        <f>IF($E185='Auto Responses'!$L$13, 'Auto Responses'!$J$5,IF(AND($D185='Auto Responses'!$J$27,$H185=""),'Auto Responses'!$J$5,IF(AND($D185='Auto Responses'!$J$27,$H185='Auto Responses'!$J$7),1,IF(AND($D185='Auto Responses'!$J$27,$H185='Auto Responses'!$J$8),0,IF(OR(AND($F185=$G185,$H185=""),$H185='Auto Responses'!$J$7),1,0)))))</f>
        <v>0</v>
      </c>
      <c r="M185" s="4" t="str">
        <f>VLOOKUP($A185,'Institution Evaluation'!$A$56:$K$345,11,0)&amp;""</f>
        <v>FALSE</v>
      </c>
      <c r="N185" s="4">
        <f>IF($J185='Auto Responses'!$J$11,1,IF(AND($J185="",$I185='Auto Responses'!$J$11),1,0))</f>
        <v>0</v>
      </c>
      <c r="O185" s="107">
        <f>IF(OR($F$17='Auto Responses'!$J$4,$E185='Auto Responses'!$L$13,$F185='Auto Responses'!$J$5),'Auto Responses'!$J$5,IF($J185="",$K185,IF($J185='Auto Responses'!$J$13,5,IF($J185='Auto Responses'!$J$12,10,IF($J185='Auto Responses'!$J$11,20,0)))))</f>
        <v>10</v>
      </c>
      <c r="P185" s="107">
        <f>IF(OR($O185='Auto Responses'!$J$5,$L185='Auto Responses'!$J$5),'Auto Responses'!$J$5,$O185*$L185)</f>
        <v>0</v>
      </c>
      <c r="Q185" s="107">
        <f t="shared" si="14"/>
        <v>0</v>
      </c>
      <c r="R185" s="107">
        <f t="shared" si="19"/>
        <v>0</v>
      </c>
      <c r="S185" s="107">
        <f t="shared" si="15"/>
        <v>0</v>
      </c>
      <c r="T185" s="107">
        <f t="shared" si="16"/>
        <v>0</v>
      </c>
      <c r="U185" s="107">
        <f t="shared" si="20"/>
        <v>55</v>
      </c>
      <c r="V185" s="107">
        <f t="shared" si="17"/>
        <v>0</v>
      </c>
    </row>
    <row r="186" spans="1:22" ht="57" x14ac:dyDescent="0.2">
      <c r="A186" s="4" t="str">
        <f>Questions!$A186</f>
        <v>VULN-06</v>
      </c>
      <c r="B186" s="4" t="str">
        <f t="shared" si="18"/>
        <v>VULN</v>
      </c>
      <c r="C186" s="4" t="str">
        <f>VLOOKUP($A186,Questions!$A$3:$L$333,2,0)&amp;""</f>
        <v>Are your systems and applications regularly scanned externally for vulnerabilities?</v>
      </c>
      <c r="D186" s="4" t="str">
        <f>VLOOKUP($A186,Questions!$A$3:$L$333,11,0)&amp;""</f>
        <v/>
      </c>
      <c r="E186" s="4" t="str">
        <f>VLOOKUP($A186,Questions!$A$3:$L$333,12,0)&amp;""</f>
        <v>Infrastructure</v>
      </c>
      <c r="F186" s="4" t="str">
        <f>VLOOKUP($A186,'Institution Evaluation'!$A$56:$K$345,3,0)&amp;""</f>
        <v/>
      </c>
      <c r="G186" s="4" t="str">
        <f>VLOOKUP($A186,'Institution Evaluation'!$A$56:$K$345,7,0)&amp;""</f>
        <v>Yes</v>
      </c>
      <c r="H186" s="4" t="str">
        <f>VLOOKUP($A186,'Institution Evaluation'!$A$56:$K$345,8,0)&amp;""</f>
        <v/>
      </c>
      <c r="I186" s="4" t="str">
        <f>VLOOKUP($A186,'Institution Evaluation'!$A$56:$K$345,9,0)&amp;""</f>
        <v>Minor Importance</v>
      </c>
      <c r="J186" s="4" t="str">
        <f>VLOOKUP($A186,'Institution Evaluation'!$A$56:$K$345,10,0)&amp;""</f>
        <v/>
      </c>
      <c r="K186" s="4">
        <f>IF($I186='Auto Responses'!$J$11,20,IF($I186='Auto Responses'!$J$13,5,10))</f>
        <v>5</v>
      </c>
      <c r="L186" s="107">
        <f>IF($E186='Auto Responses'!$L$13, 'Auto Responses'!$J$5,IF(AND($D186='Auto Responses'!$J$27,$H186=""),'Auto Responses'!$J$5,IF(AND($D186='Auto Responses'!$J$27,$H186='Auto Responses'!$J$7),1,IF(AND($D186='Auto Responses'!$J$27,$H186='Auto Responses'!$J$8),0,IF(OR(AND($F186=$G186,$H186=""),$H186='Auto Responses'!$J$7),1,0)))))</f>
        <v>0</v>
      </c>
      <c r="M186" s="4" t="str">
        <f>VLOOKUP($A186,'Institution Evaluation'!$A$56:$K$345,11,0)&amp;""</f>
        <v>FALSE</v>
      </c>
      <c r="N186" s="4">
        <f>IF($J186='Auto Responses'!$J$11,1,IF(AND($J186="",$I186='Auto Responses'!$J$11),1,0))</f>
        <v>0</v>
      </c>
      <c r="O186" s="107">
        <f>IF(OR($F$17='Auto Responses'!$J$4,$E186='Auto Responses'!$L$13,$F186='Auto Responses'!$J$5),'Auto Responses'!$J$5,IF($J186="",$K186,IF($J186='Auto Responses'!$J$13,5,IF($J186='Auto Responses'!$J$12,10,IF($J186='Auto Responses'!$J$11,20,0)))))</f>
        <v>5</v>
      </c>
      <c r="P186" s="107">
        <f>IF(OR($O186='Auto Responses'!$J$5,$L186='Auto Responses'!$J$5),'Auto Responses'!$J$5,$O186*$L186)</f>
        <v>0</v>
      </c>
      <c r="Q186" s="107">
        <f t="shared" si="14"/>
        <v>0</v>
      </c>
      <c r="R186" s="107">
        <f t="shared" si="19"/>
        <v>0</v>
      </c>
      <c r="S186" s="107">
        <f t="shared" si="15"/>
        <v>0</v>
      </c>
      <c r="T186" s="107">
        <f t="shared" si="16"/>
        <v>0</v>
      </c>
      <c r="U186" s="107">
        <f t="shared" si="20"/>
        <v>55</v>
      </c>
      <c r="V186" s="107">
        <f t="shared" si="17"/>
        <v>0</v>
      </c>
    </row>
    <row r="187" spans="1:22" ht="57" x14ac:dyDescent="0.2">
      <c r="A187" s="4" t="str">
        <f>Questions!$A187</f>
        <v>HIPA-01</v>
      </c>
      <c r="B187" s="4" t="str">
        <f t="shared" si="18"/>
        <v>HIPA</v>
      </c>
      <c r="C187" s="4" t="str">
        <f>VLOOKUP($A187,Questions!$A$3:$L$333,2,0)&amp;""</f>
        <v>Do your workforce members receive regular training related to the Health Insurance Portability and Accountability Act (HIPAA) Privacy and Security Rules and the HITECH Act?*</v>
      </c>
      <c r="D187" s="4" t="str">
        <f>VLOOKUP($A187,Questions!$A$3:$L$333,11,0)&amp;""</f>
        <v/>
      </c>
      <c r="E187" s="4" t="str">
        <f>VLOOKUP($A187,Questions!$A$3:$L$333,12,0)&amp;""</f>
        <v>Case-specific</v>
      </c>
      <c r="F187" s="4" t="str">
        <f>VLOOKUP($A187,'Institution Evaluation'!$A$56:$K$345,3,0)&amp;""</f>
        <v/>
      </c>
      <c r="G187" s="4" t="str">
        <f>VLOOKUP($A187,'Institution Evaluation'!$A$56:$K$345,7,0)&amp;""</f>
        <v>Yes</v>
      </c>
      <c r="H187" s="4" t="str">
        <f>VLOOKUP($A187,'Institution Evaluation'!$A$56:$K$345,8,0)&amp;""</f>
        <v/>
      </c>
      <c r="I187" s="4" t="str">
        <f>VLOOKUP($A187,'Institution Evaluation'!$A$56:$K$345,9,0)&amp;""</f>
        <v>Critical Importance</v>
      </c>
      <c r="J187" s="4" t="str">
        <f>VLOOKUP($A187,'Institution Evaluation'!$A$56:$K$345,10,0)&amp;""</f>
        <v/>
      </c>
      <c r="K187" s="4">
        <f>IF($I187='Auto Responses'!$J$11,20,IF($I187='Auto Responses'!$J$13,5,10))</f>
        <v>20</v>
      </c>
      <c r="L187" s="107">
        <f>IF($E187='Auto Responses'!$L$13, 'Auto Responses'!$J$5,IF(AND($D187='Auto Responses'!$J$27,$H187=""),'Auto Responses'!$J$5,IF(AND($D187='Auto Responses'!$J$27,$H187='Auto Responses'!$J$7),1,IF(AND($D187='Auto Responses'!$J$27,$H187='Auto Responses'!$J$8),0,IF(OR(AND($F187=$G187,$H187=""),$H187='Auto Responses'!$J$7),1,0)))))</f>
        <v>0</v>
      </c>
      <c r="M187" s="4" t="str">
        <f>VLOOKUP($A187,'Institution Evaluation'!$A$56:$K$345,11,0)&amp;""</f>
        <v>FALSE</v>
      </c>
      <c r="N187" s="4">
        <f>IF($J187='Auto Responses'!$J$11,1,IF(AND($J187="",$I187='Auto Responses'!$J$11),1,0))</f>
        <v>1</v>
      </c>
      <c r="O187" s="107">
        <f>IF(OR($F$21='Auto Responses'!$J$4,$E187='Auto Responses'!$L$13,$F187='Auto Responses'!$J$5),'Auto Responses'!$J$5,IF($J187="",$K187,IF($J187='Auto Responses'!$J$13,5,IF($J187='Auto Responses'!$J$12,10,IF($J187='Auto Responses'!$J$11,20,0)))))</f>
        <v>20</v>
      </c>
      <c r="P187" s="107">
        <f>IF(OR($O187='Auto Responses'!$J$5,$L187='Auto Responses'!$J$5),'Auto Responses'!$J$5,$O187*$L187)</f>
        <v>0</v>
      </c>
      <c r="Q187" s="107">
        <f t="shared" si="14"/>
        <v>0</v>
      </c>
      <c r="R187" s="107">
        <f t="shared" si="19"/>
        <v>0</v>
      </c>
      <c r="S187" s="107">
        <f t="shared" si="15"/>
        <v>0</v>
      </c>
      <c r="T187" s="107">
        <f t="shared" si="16"/>
        <v>1</v>
      </c>
      <c r="U187" s="107">
        <f t="shared" si="20"/>
        <v>56</v>
      </c>
      <c r="V187" s="107">
        <f t="shared" si="17"/>
        <v>56</v>
      </c>
    </row>
    <row r="188" spans="1:22" ht="57" x14ac:dyDescent="0.2">
      <c r="A188" s="4" t="str">
        <f>Questions!$A188</f>
        <v>HIPA-02</v>
      </c>
      <c r="B188" s="4" t="str">
        <f t="shared" si="18"/>
        <v>HIPA</v>
      </c>
      <c r="C188" s="4" t="str">
        <f>VLOOKUP($A188,Questions!$A$3:$L$333,2,0)&amp;""</f>
        <v>Have you identified areas of risk?*</v>
      </c>
      <c r="D188" s="4" t="str">
        <f>VLOOKUP($A188,Questions!$A$3:$L$333,11,0)&amp;""</f>
        <v/>
      </c>
      <c r="E188" s="4" t="str">
        <f>VLOOKUP($A188,Questions!$A$3:$L$333,12,0)&amp;""</f>
        <v>Case-specific</v>
      </c>
      <c r="F188" s="4" t="str">
        <f>VLOOKUP($A188,'Institution Evaluation'!$A$56:$K$345,3,0)&amp;""</f>
        <v/>
      </c>
      <c r="G188" s="4" t="str">
        <f>VLOOKUP($A188,'Institution Evaluation'!$A$56:$K$345,7,0)&amp;""</f>
        <v>Yes</v>
      </c>
      <c r="H188" s="4" t="str">
        <f>VLOOKUP($A188,'Institution Evaluation'!$A$56:$K$345,8,0)&amp;""</f>
        <v/>
      </c>
      <c r="I188" s="4" t="str">
        <f>VLOOKUP($A188,'Institution Evaluation'!$A$56:$K$345,9,0)&amp;""</f>
        <v>Critical Importance</v>
      </c>
      <c r="J188" s="4" t="str">
        <f>VLOOKUP($A188,'Institution Evaluation'!$A$56:$K$345,10,0)&amp;""</f>
        <v/>
      </c>
      <c r="K188" s="4">
        <f>IF($I188='Auto Responses'!$J$11,20,IF($I188='Auto Responses'!$J$13,5,10))</f>
        <v>20</v>
      </c>
      <c r="L188" s="107">
        <f>IF($E188='Auto Responses'!$L$13, 'Auto Responses'!$J$5,IF(AND($D188='Auto Responses'!$J$27,$H188=""),'Auto Responses'!$J$5,IF(AND($D188='Auto Responses'!$J$27,$H188='Auto Responses'!$J$7),1,IF(AND($D188='Auto Responses'!$J$27,$H188='Auto Responses'!$J$8),0,IF(OR(AND($F188=$G188,$H188=""),$H188='Auto Responses'!$J$7),1,0)))))</f>
        <v>0</v>
      </c>
      <c r="M188" s="4" t="str">
        <f>VLOOKUP($A188,'Institution Evaluation'!$A$56:$K$345,11,0)&amp;""</f>
        <v>FALSE</v>
      </c>
      <c r="N188" s="4">
        <f>IF($J188='Auto Responses'!$J$11,1,IF(AND($J188="",$I188='Auto Responses'!$J$11),1,0))</f>
        <v>1</v>
      </c>
      <c r="O188" s="107">
        <f>IF(OR($F$21='Auto Responses'!$J$4,$E188='Auto Responses'!$L$13,$F188='Auto Responses'!$J$5),'Auto Responses'!$J$5,IF($J188="",$K188,IF($J188='Auto Responses'!$J$13,5,IF($J188='Auto Responses'!$J$12,10,IF($J188='Auto Responses'!$J$11,20,0)))))</f>
        <v>20</v>
      </c>
      <c r="P188" s="107">
        <f>IF(OR($O188='Auto Responses'!$J$5,$L188='Auto Responses'!$J$5),'Auto Responses'!$J$5,$O188*$L188)</f>
        <v>0</v>
      </c>
      <c r="Q188" s="107">
        <f t="shared" si="14"/>
        <v>0</v>
      </c>
      <c r="R188" s="107">
        <f t="shared" si="19"/>
        <v>0</v>
      </c>
      <c r="S188" s="107">
        <f t="shared" si="15"/>
        <v>0</v>
      </c>
      <c r="T188" s="107">
        <f t="shared" si="16"/>
        <v>1</v>
      </c>
      <c r="U188" s="107">
        <f t="shared" si="20"/>
        <v>57</v>
      </c>
      <c r="V188" s="107">
        <f t="shared" si="17"/>
        <v>57</v>
      </c>
    </row>
    <row r="189" spans="1:22" ht="57" x14ac:dyDescent="0.2">
      <c r="A189" s="4" t="str">
        <f>Questions!$A189</f>
        <v>HIPA-03</v>
      </c>
      <c r="B189" s="4" t="str">
        <f t="shared" si="18"/>
        <v>HIPA</v>
      </c>
      <c r="C189" s="4" t="str">
        <f>VLOOKUP($A189,Questions!$A$3:$L$333,2,0)&amp;""</f>
        <v>Have the relevant policies/plans been tested?*</v>
      </c>
      <c r="D189" s="4" t="str">
        <f>VLOOKUP($A189,Questions!$A$3:$L$333,11,0)&amp;""</f>
        <v/>
      </c>
      <c r="E189" s="4" t="str">
        <f>VLOOKUP($A189,Questions!$A$3:$L$333,12,0)&amp;""</f>
        <v>Case-specific</v>
      </c>
      <c r="F189" s="4" t="str">
        <f>VLOOKUP($A189,'Institution Evaluation'!$A$56:$K$345,3,0)&amp;""</f>
        <v/>
      </c>
      <c r="G189" s="4" t="str">
        <f>VLOOKUP($A189,'Institution Evaluation'!$A$56:$K$345,7,0)&amp;""</f>
        <v>Yes</v>
      </c>
      <c r="H189" s="4" t="str">
        <f>VLOOKUP($A189,'Institution Evaluation'!$A$56:$K$345,8,0)&amp;""</f>
        <v/>
      </c>
      <c r="I189" s="4" t="str">
        <f>VLOOKUP($A189,'Institution Evaluation'!$A$56:$K$345,9,0)&amp;""</f>
        <v>Critical Importance</v>
      </c>
      <c r="J189" s="4" t="str">
        <f>VLOOKUP($A189,'Institution Evaluation'!$A$56:$K$345,10,0)&amp;""</f>
        <v/>
      </c>
      <c r="K189" s="4">
        <f>IF($I189='Auto Responses'!$J$11,20,IF($I189='Auto Responses'!$J$13,5,10))</f>
        <v>20</v>
      </c>
      <c r="L189" s="107">
        <f>IF($E189='Auto Responses'!$L$13, 'Auto Responses'!$J$5,IF(AND($D189='Auto Responses'!$J$27,$H189=""),'Auto Responses'!$J$5,IF(AND($D189='Auto Responses'!$J$27,$H189='Auto Responses'!$J$7),1,IF(AND($D189='Auto Responses'!$J$27,$H189='Auto Responses'!$J$8),0,IF(OR(AND($F189=$G189,$H189=""),$H189='Auto Responses'!$J$7),1,0)))))</f>
        <v>0</v>
      </c>
      <c r="M189" s="4" t="str">
        <f>VLOOKUP($A189,'Institution Evaluation'!$A$56:$K$345,11,0)&amp;""</f>
        <v>FALSE</v>
      </c>
      <c r="N189" s="4">
        <f>IF($J189='Auto Responses'!$J$11,1,IF(AND($J189="",$I189='Auto Responses'!$J$11),1,0))</f>
        <v>1</v>
      </c>
      <c r="O189" s="107">
        <f>IF(OR($F$21='Auto Responses'!$J$4,$E189='Auto Responses'!$L$13,$F189='Auto Responses'!$J$5),'Auto Responses'!$J$5,IF($J189="",$K189,IF($J189='Auto Responses'!$J$13,5,IF($J189='Auto Responses'!$J$12,10,IF($J189='Auto Responses'!$J$11,20,0)))))</f>
        <v>20</v>
      </c>
      <c r="P189" s="107">
        <f>IF(OR($O189='Auto Responses'!$J$5,$L189='Auto Responses'!$J$5),'Auto Responses'!$J$5,$O189*$L189)</f>
        <v>0</v>
      </c>
      <c r="Q189" s="107">
        <f t="shared" si="14"/>
        <v>0</v>
      </c>
      <c r="R189" s="107">
        <f t="shared" si="19"/>
        <v>0</v>
      </c>
      <c r="S189" s="107">
        <f t="shared" si="15"/>
        <v>0</v>
      </c>
      <c r="T189" s="107">
        <f t="shared" si="16"/>
        <v>1</v>
      </c>
      <c r="U189" s="107">
        <f t="shared" si="20"/>
        <v>58</v>
      </c>
      <c r="V189" s="107">
        <f t="shared" si="17"/>
        <v>58</v>
      </c>
    </row>
    <row r="190" spans="1:22" ht="57" x14ac:dyDescent="0.2">
      <c r="A190" s="4" t="str">
        <f>Questions!$A190</f>
        <v>HIPA-04</v>
      </c>
      <c r="B190" s="4" t="str">
        <f t="shared" si="18"/>
        <v>HIPA</v>
      </c>
      <c r="C190" s="4" t="str">
        <f>VLOOKUP($A190,Questions!$A$3:$L$333,2,0)&amp;""</f>
        <v>Have you entered into a Business Associate Agreements with all subcontractors who may have access to protected health information (PHI)?*</v>
      </c>
      <c r="D190" s="4" t="str">
        <f>VLOOKUP($A190,Questions!$A$3:$L$333,11,0)&amp;""</f>
        <v/>
      </c>
      <c r="E190" s="4" t="str">
        <f>VLOOKUP($A190,Questions!$A$3:$L$333,12,0)&amp;""</f>
        <v>Case-specific</v>
      </c>
      <c r="F190" s="4" t="str">
        <f>VLOOKUP($A190,'Institution Evaluation'!$A$56:$K$345,3,0)&amp;""</f>
        <v/>
      </c>
      <c r="G190" s="4" t="str">
        <f>VLOOKUP($A190,'Institution Evaluation'!$A$56:$K$345,7,0)&amp;""</f>
        <v>Yes</v>
      </c>
      <c r="H190" s="4" t="str">
        <f>VLOOKUP($A190,'Institution Evaluation'!$A$56:$K$345,8,0)&amp;""</f>
        <v/>
      </c>
      <c r="I190" s="4" t="str">
        <f>VLOOKUP($A190,'Institution Evaluation'!$A$56:$K$345,9,0)&amp;""</f>
        <v>Critical Importance</v>
      </c>
      <c r="J190" s="4" t="str">
        <f>VLOOKUP($A190,'Institution Evaluation'!$A$56:$K$345,10,0)&amp;""</f>
        <v/>
      </c>
      <c r="K190" s="4">
        <f>IF($I190='Auto Responses'!$J$11,20,IF($I190='Auto Responses'!$J$13,5,10))</f>
        <v>20</v>
      </c>
      <c r="L190" s="107">
        <f>IF($E190='Auto Responses'!$L$13, 'Auto Responses'!$J$5,IF(AND($D190='Auto Responses'!$J$27,$H190=""),'Auto Responses'!$J$5,IF(AND($D190='Auto Responses'!$J$27,$H190='Auto Responses'!$J$7),1,IF(AND($D190='Auto Responses'!$J$27,$H190='Auto Responses'!$J$8),0,IF(OR(AND($F190=$G190,$H190=""),$H190='Auto Responses'!$J$7),1,0)))))</f>
        <v>0</v>
      </c>
      <c r="M190" s="4" t="str">
        <f>VLOOKUP($A190,'Institution Evaluation'!$A$56:$K$345,11,0)&amp;""</f>
        <v>FALSE</v>
      </c>
      <c r="N190" s="4">
        <f>IF($J190='Auto Responses'!$J$11,1,IF(AND($J190="",$I190='Auto Responses'!$J$11),1,0))</f>
        <v>1</v>
      </c>
      <c r="O190" s="107">
        <f>IF(OR($F$21='Auto Responses'!$J$4,$E190='Auto Responses'!$L$13,$F190='Auto Responses'!$J$5),'Auto Responses'!$J$5,IF($J190="",$K190,IF($J190='Auto Responses'!$J$13,5,IF($J190='Auto Responses'!$J$12,10,IF($J190='Auto Responses'!$J$11,20,0)))))</f>
        <v>20</v>
      </c>
      <c r="P190" s="107">
        <f>IF(OR($O190='Auto Responses'!$J$5,$L190='Auto Responses'!$J$5),'Auto Responses'!$J$5,$O190*$L190)</f>
        <v>0</v>
      </c>
      <c r="Q190" s="107">
        <f t="shared" ref="Q190:Q253" si="21">IF(M190="TRUE",1,0)</f>
        <v>0</v>
      </c>
      <c r="R190" s="107">
        <f t="shared" si="19"/>
        <v>0</v>
      </c>
      <c r="S190" s="107">
        <f t="shared" ref="S190:S253" si="22">IF(Q190=0,0,R190)</f>
        <v>0</v>
      </c>
      <c r="T190" s="107">
        <f t="shared" ref="T190:T253" si="23">IF(N190=1,1,0)</f>
        <v>1</v>
      </c>
      <c r="U190" s="107">
        <f t="shared" si="20"/>
        <v>59</v>
      </c>
      <c r="V190" s="107">
        <f t="shared" ref="V190:V253" si="24">IF(T190=0,0,U190)</f>
        <v>59</v>
      </c>
    </row>
    <row r="191" spans="1:22" ht="57" x14ac:dyDescent="0.2">
      <c r="A191" s="4" t="str">
        <f>Questions!$A191</f>
        <v>HIPA-05</v>
      </c>
      <c r="B191" s="4" t="str">
        <f t="shared" ref="B191:B254" si="25">LEFT(A191,4)</f>
        <v>HIPA</v>
      </c>
      <c r="C191" s="4" t="str">
        <f>VLOOKUP($A191,Questions!$A$3:$L$333,2,0)&amp;""</f>
        <v>Do you monitor or receive information regarding changes in HIPAA regulations?</v>
      </c>
      <c r="D191" s="4" t="str">
        <f>VLOOKUP($A191,Questions!$A$3:$L$333,11,0)&amp;""</f>
        <v/>
      </c>
      <c r="E191" s="4" t="str">
        <f>VLOOKUP($A191,Questions!$A$3:$L$333,12,0)&amp;""</f>
        <v>Case-specific</v>
      </c>
      <c r="F191" s="4" t="str">
        <f>VLOOKUP($A191,'Institution Evaluation'!$A$56:$K$345,3,0)&amp;""</f>
        <v/>
      </c>
      <c r="G191" s="4" t="str">
        <f>VLOOKUP($A191,'Institution Evaluation'!$A$56:$K$345,7,0)&amp;""</f>
        <v>Yes</v>
      </c>
      <c r="H191" s="4" t="str">
        <f>VLOOKUP($A191,'Institution Evaluation'!$A$56:$K$345,8,0)&amp;""</f>
        <v/>
      </c>
      <c r="I191" s="4" t="str">
        <f>VLOOKUP($A191,'Institution Evaluation'!$A$56:$K$345,9,0)&amp;""</f>
        <v>Standard Importance</v>
      </c>
      <c r="J191" s="4" t="str">
        <f>VLOOKUP($A191,'Institution Evaluation'!$A$56:$K$345,10,0)&amp;""</f>
        <v/>
      </c>
      <c r="K191" s="4">
        <f>IF($I191='Auto Responses'!$J$11,20,IF($I191='Auto Responses'!$J$13,5,10))</f>
        <v>10</v>
      </c>
      <c r="L191" s="107">
        <f>IF($E191='Auto Responses'!$L$13, 'Auto Responses'!$J$5,IF(AND($D191='Auto Responses'!$J$27,$H191=""),'Auto Responses'!$J$5,IF(AND($D191='Auto Responses'!$J$27,$H191='Auto Responses'!$J$7),1,IF(AND($D191='Auto Responses'!$J$27,$H191='Auto Responses'!$J$8),0,IF(OR(AND($F191=$G191,$H191=""),$H191='Auto Responses'!$J$7),1,0)))))</f>
        <v>0</v>
      </c>
      <c r="M191" s="4" t="str">
        <f>VLOOKUP($A191,'Institution Evaluation'!$A$56:$K$345,11,0)&amp;""</f>
        <v>FALSE</v>
      </c>
      <c r="N191" s="4">
        <f>IF($J191='Auto Responses'!$J$11,1,IF(AND($J191="",$I191='Auto Responses'!$J$11),1,0))</f>
        <v>0</v>
      </c>
      <c r="O191" s="107">
        <f>IF(OR($F$21='Auto Responses'!$J$4,$E191='Auto Responses'!$L$13,$F191='Auto Responses'!$J$5),'Auto Responses'!$J$5,IF($J191="",$K191,IF($J191='Auto Responses'!$J$13,5,IF($J191='Auto Responses'!$J$12,10,IF($J191='Auto Responses'!$J$11,20,0)))))</f>
        <v>10</v>
      </c>
      <c r="P191" s="107">
        <f>IF(OR($O191='Auto Responses'!$J$5,$L191='Auto Responses'!$J$5),'Auto Responses'!$J$5,$O191*$L191)</f>
        <v>0</v>
      </c>
      <c r="Q191" s="107">
        <f t="shared" si="21"/>
        <v>0</v>
      </c>
      <c r="R191" s="107">
        <f t="shared" si="19"/>
        <v>0</v>
      </c>
      <c r="S191" s="107">
        <f t="shared" si="22"/>
        <v>0</v>
      </c>
      <c r="T191" s="107">
        <f t="shared" si="23"/>
        <v>0</v>
      </c>
      <c r="U191" s="107">
        <f t="shared" si="20"/>
        <v>59</v>
      </c>
      <c r="V191" s="107">
        <f t="shared" si="24"/>
        <v>0</v>
      </c>
    </row>
    <row r="192" spans="1:22" ht="57" x14ac:dyDescent="0.2">
      <c r="A192" s="4" t="str">
        <f>Questions!$A192</f>
        <v>HIPA-06</v>
      </c>
      <c r="B192" s="4" t="str">
        <f t="shared" si="25"/>
        <v>HIPA</v>
      </c>
      <c r="C192" s="4" t="str">
        <f>VLOOKUP($A192,Questions!$A$3:$L$333,2,0)&amp;""</f>
        <v>Has your organization designated HIPAA Privacy and Security officers as required by the rules?</v>
      </c>
      <c r="D192" s="4" t="str">
        <f>VLOOKUP($A192,Questions!$A$3:$L$333,11,0)&amp;""</f>
        <v/>
      </c>
      <c r="E192" s="4" t="str">
        <f>VLOOKUP($A192,Questions!$A$3:$L$333,12,0)&amp;""</f>
        <v>Case-specific</v>
      </c>
      <c r="F192" s="4" t="str">
        <f>VLOOKUP($A192,'Institution Evaluation'!$A$56:$K$345,3,0)&amp;""</f>
        <v/>
      </c>
      <c r="G192" s="4" t="str">
        <f>VLOOKUP($A192,'Institution Evaluation'!$A$56:$K$345,7,0)&amp;""</f>
        <v>Yes</v>
      </c>
      <c r="H192" s="4" t="str">
        <f>VLOOKUP($A192,'Institution Evaluation'!$A$56:$K$345,8,0)&amp;""</f>
        <v/>
      </c>
      <c r="I192" s="4" t="str">
        <f>VLOOKUP($A192,'Institution Evaluation'!$A$56:$K$345,9,0)&amp;""</f>
        <v>Standard Importance</v>
      </c>
      <c r="J192" s="4" t="str">
        <f>VLOOKUP($A192,'Institution Evaluation'!$A$56:$K$345,10,0)&amp;""</f>
        <v/>
      </c>
      <c r="K192" s="4">
        <f>IF($I192='Auto Responses'!$J$11,20,IF($I192='Auto Responses'!$J$13,5,10))</f>
        <v>10</v>
      </c>
      <c r="L192" s="107">
        <f>IF($E192='Auto Responses'!$L$13, 'Auto Responses'!$J$5,IF(AND($D192='Auto Responses'!$J$27,$H192=""),'Auto Responses'!$J$5,IF(AND($D192='Auto Responses'!$J$27,$H192='Auto Responses'!$J$7),1,IF(AND($D192='Auto Responses'!$J$27,$H192='Auto Responses'!$J$8),0,IF(OR(AND($F192=$G192,$H192=""),$H192='Auto Responses'!$J$7),1,0)))))</f>
        <v>0</v>
      </c>
      <c r="M192" s="4" t="str">
        <f>VLOOKUP($A192,'Institution Evaluation'!$A$56:$K$345,11,0)&amp;""</f>
        <v>FALSE</v>
      </c>
      <c r="N192" s="4">
        <f>IF($J192='Auto Responses'!$J$11,1,IF(AND($J192="",$I192='Auto Responses'!$J$11),1,0))</f>
        <v>0</v>
      </c>
      <c r="O192" s="107">
        <f>IF(OR($F$21='Auto Responses'!$J$4,$E192='Auto Responses'!$L$13,$F192='Auto Responses'!$J$5),'Auto Responses'!$J$5,IF($J192="",$K192,IF($J192='Auto Responses'!$J$13,5,IF($J192='Auto Responses'!$J$12,10,IF($J192='Auto Responses'!$J$11,20,0)))))</f>
        <v>10</v>
      </c>
      <c r="P192" s="107">
        <f>IF(OR($O192='Auto Responses'!$J$5,$L192='Auto Responses'!$J$5),'Auto Responses'!$J$5,$O192*$L192)</f>
        <v>0</v>
      </c>
      <c r="Q192" s="107">
        <f t="shared" si="21"/>
        <v>0</v>
      </c>
      <c r="R192" s="107">
        <f t="shared" si="19"/>
        <v>0</v>
      </c>
      <c r="S192" s="107">
        <f t="shared" si="22"/>
        <v>0</v>
      </c>
      <c r="T192" s="107">
        <f t="shared" si="23"/>
        <v>0</v>
      </c>
      <c r="U192" s="107">
        <f t="shared" si="20"/>
        <v>59</v>
      </c>
      <c r="V192" s="107">
        <f t="shared" si="24"/>
        <v>0</v>
      </c>
    </row>
    <row r="193" spans="1:22" ht="57" x14ac:dyDescent="0.2">
      <c r="A193" s="4" t="str">
        <f>Questions!$A193</f>
        <v>HIPA-07</v>
      </c>
      <c r="B193" s="4" t="str">
        <f t="shared" si="25"/>
        <v>HIPA</v>
      </c>
      <c r="C193" s="4" t="str">
        <f>VLOOKUP($A193,Questions!$A$3:$L$333,2,0)&amp;""</f>
        <v>Do you comply with the requirements of the Health Information Technology for Economic and Clinical Health Act (HITECH)?</v>
      </c>
      <c r="D193" s="4" t="str">
        <f>VLOOKUP($A193,Questions!$A$3:$L$333,11,0)&amp;""</f>
        <v/>
      </c>
      <c r="E193" s="4" t="str">
        <f>VLOOKUP($A193,Questions!$A$3:$L$333,12,0)&amp;""</f>
        <v>Case-specific</v>
      </c>
      <c r="F193" s="4" t="str">
        <f>VLOOKUP($A193,'Institution Evaluation'!$A$56:$K$345,3,0)&amp;""</f>
        <v/>
      </c>
      <c r="G193" s="4" t="str">
        <f>VLOOKUP($A193,'Institution Evaluation'!$A$56:$K$345,7,0)&amp;""</f>
        <v>Yes</v>
      </c>
      <c r="H193" s="4" t="str">
        <f>VLOOKUP($A193,'Institution Evaluation'!$A$56:$K$345,8,0)&amp;""</f>
        <v/>
      </c>
      <c r="I193" s="4" t="str">
        <f>VLOOKUP($A193,'Institution Evaluation'!$A$56:$K$345,9,0)&amp;""</f>
        <v>Standard Importance</v>
      </c>
      <c r="J193" s="4" t="str">
        <f>VLOOKUP($A193,'Institution Evaluation'!$A$56:$K$345,10,0)&amp;""</f>
        <v/>
      </c>
      <c r="K193" s="4">
        <f>IF($I193='Auto Responses'!$J$11,20,IF($I193='Auto Responses'!$J$13,5,10))</f>
        <v>10</v>
      </c>
      <c r="L193" s="107">
        <f>IF($E193='Auto Responses'!$L$13, 'Auto Responses'!$J$5,IF(AND($D193='Auto Responses'!$J$27,$H193=""),'Auto Responses'!$J$5,IF(AND($D193='Auto Responses'!$J$27,$H193='Auto Responses'!$J$7),1,IF(AND($D193='Auto Responses'!$J$27,$H193='Auto Responses'!$J$8),0,IF(OR(AND($F193=$G193,$H193=""),$H193='Auto Responses'!$J$7),1,0)))))</f>
        <v>0</v>
      </c>
      <c r="M193" s="4" t="str">
        <f>VLOOKUP($A193,'Institution Evaluation'!$A$56:$K$345,11,0)&amp;""</f>
        <v>FALSE</v>
      </c>
      <c r="N193" s="4">
        <f>IF($J193='Auto Responses'!$J$11,1,IF(AND($J193="",$I193='Auto Responses'!$J$11),1,0))</f>
        <v>0</v>
      </c>
      <c r="O193" s="107">
        <f>IF(OR($F$21='Auto Responses'!$J$4,$E193='Auto Responses'!$L$13,$F193='Auto Responses'!$J$5),'Auto Responses'!$J$5,IF($J193="",$K193,IF($J193='Auto Responses'!$J$13,5,IF($J193='Auto Responses'!$J$12,10,IF($J193='Auto Responses'!$J$11,20,0)))))</f>
        <v>10</v>
      </c>
      <c r="P193" s="107">
        <f>IF(OR($O193='Auto Responses'!$J$5,$L193='Auto Responses'!$J$5),'Auto Responses'!$J$5,$O193*$L193)</f>
        <v>0</v>
      </c>
      <c r="Q193" s="107">
        <f t="shared" si="21"/>
        <v>0</v>
      </c>
      <c r="R193" s="107">
        <f t="shared" si="19"/>
        <v>0</v>
      </c>
      <c r="S193" s="107">
        <f t="shared" si="22"/>
        <v>0</v>
      </c>
      <c r="T193" s="107">
        <f t="shared" si="23"/>
        <v>0</v>
      </c>
      <c r="U193" s="107">
        <f t="shared" si="20"/>
        <v>59</v>
      </c>
      <c r="V193" s="107">
        <f t="shared" si="24"/>
        <v>0</v>
      </c>
    </row>
    <row r="194" spans="1:22" ht="57" x14ac:dyDescent="0.2">
      <c r="A194" s="4" t="str">
        <f>Questions!$A194</f>
        <v>HIPA-08</v>
      </c>
      <c r="B194" s="4" t="str">
        <f t="shared" si="25"/>
        <v>HIPA</v>
      </c>
      <c r="C194" s="4" t="str">
        <f>VLOOKUP($A194,Questions!$A$3:$L$333,2,0)&amp;""</f>
        <v>Have you conducted a risk analysis as required under the HIPAA Security Rule?</v>
      </c>
      <c r="D194" s="4" t="str">
        <f>VLOOKUP($A194,Questions!$A$3:$L$333,11,0)&amp;""</f>
        <v/>
      </c>
      <c r="E194" s="4" t="str">
        <f>VLOOKUP($A194,Questions!$A$3:$L$333,12,0)&amp;""</f>
        <v>Case-specific</v>
      </c>
      <c r="F194" s="4" t="str">
        <f>VLOOKUP($A194,'Institution Evaluation'!$A$56:$K$345,3,0)&amp;""</f>
        <v/>
      </c>
      <c r="G194" s="4" t="str">
        <f>VLOOKUP($A194,'Institution Evaluation'!$A$56:$K$345,7,0)&amp;""</f>
        <v>Yes</v>
      </c>
      <c r="H194" s="4" t="str">
        <f>VLOOKUP($A194,'Institution Evaluation'!$A$56:$K$345,8,0)&amp;""</f>
        <v/>
      </c>
      <c r="I194" s="4" t="str">
        <f>VLOOKUP($A194,'Institution Evaluation'!$A$56:$K$345,9,0)&amp;""</f>
        <v>Standard Importance</v>
      </c>
      <c r="J194" s="4" t="str">
        <f>VLOOKUP($A194,'Institution Evaluation'!$A$56:$K$345,10,0)&amp;""</f>
        <v/>
      </c>
      <c r="K194" s="4">
        <f>IF($I194='Auto Responses'!$J$11,20,IF($I194='Auto Responses'!$J$13,5,10))</f>
        <v>10</v>
      </c>
      <c r="L194" s="107">
        <f>IF($E194='Auto Responses'!$L$13, 'Auto Responses'!$J$5,IF(AND($D194='Auto Responses'!$J$27,$H194=""),'Auto Responses'!$J$5,IF(AND($D194='Auto Responses'!$J$27,$H194='Auto Responses'!$J$7),1,IF(AND($D194='Auto Responses'!$J$27,$H194='Auto Responses'!$J$8),0,IF(OR(AND($F194=$G194,$H194=""),$H194='Auto Responses'!$J$7),1,0)))))</f>
        <v>0</v>
      </c>
      <c r="M194" s="4" t="str">
        <f>VLOOKUP($A194,'Institution Evaluation'!$A$56:$K$345,11,0)&amp;""</f>
        <v>FALSE</v>
      </c>
      <c r="N194" s="4">
        <f>IF($J194='Auto Responses'!$J$11,1,IF(AND($J194="",$I194='Auto Responses'!$J$11),1,0))</f>
        <v>0</v>
      </c>
      <c r="O194" s="107">
        <f>IF(OR($F$21='Auto Responses'!$J$4,$E194='Auto Responses'!$L$13,$F194='Auto Responses'!$J$5),'Auto Responses'!$J$5,IF($J194="",$K194,IF($J194='Auto Responses'!$J$13,5,IF($J194='Auto Responses'!$J$12,10,IF($J194='Auto Responses'!$J$11,20,0)))))</f>
        <v>10</v>
      </c>
      <c r="P194" s="107">
        <f>IF(OR($O194='Auto Responses'!$J$5,$L194='Auto Responses'!$J$5),'Auto Responses'!$J$5,$O194*$L194)</f>
        <v>0</v>
      </c>
      <c r="Q194" s="107">
        <f t="shared" si="21"/>
        <v>0</v>
      </c>
      <c r="R194" s="107">
        <f t="shared" si="19"/>
        <v>0</v>
      </c>
      <c r="S194" s="107">
        <f t="shared" si="22"/>
        <v>0</v>
      </c>
      <c r="T194" s="107">
        <f t="shared" si="23"/>
        <v>0</v>
      </c>
      <c r="U194" s="107">
        <f t="shared" si="20"/>
        <v>59</v>
      </c>
      <c r="V194" s="107">
        <f t="shared" si="24"/>
        <v>0</v>
      </c>
    </row>
    <row r="195" spans="1:22" ht="57" x14ac:dyDescent="0.2">
      <c r="A195" s="4" t="str">
        <f>Questions!$A195</f>
        <v>HIPA-09</v>
      </c>
      <c r="B195" s="4" t="str">
        <f t="shared" si="25"/>
        <v>HIPA</v>
      </c>
      <c r="C195" s="4" t="str">
        <f>VLOOKUP($A195,Questions!$A$3:$L$333,2,0)&amp;""</f>
        <v>Have you taken actions to mitigate the identified risks?</v>
      </c>
      <c r="D195" s="4" t="str">
        <f>VLOOKUP($A195,Questions!$A$3:$L$333,11,0)&amp;""</f>
        <v/>
      </c>
      <c r="E195" s="4" t="str">
        <f>VLOOKUP($A195,Questions!$A$3:$L$333,12,0)&amp;""</f>
        <v>Case-specific</v>
      </c>
      <c r="F195" s="4" t="str">
        <f>VLOOKUP($A195,'Institution Evaluation'!$A$56:$K$345,3,0)&amp;""</f>
        <v/>
      </c>
      <c r="G195" s="4" t="str">
        <f>VLOOKUP($A195,'Institution Evaluation'!$A$56:$K$345,7,0)&amp;""</f>
        <v>Yes</v>
      </c>
      <c r="H195" s="4" t="str">
        <f>VLOOKUP($A195,'Institution Evaluation'!$A$56:$K$345,8,0)&amp;""</f>
        <v/>
      </c>
      <c r="I195" s="4" t="str">
        <f>VLOOKUP($A195,'Institution Evaluation'!$A$56:$K$345,9,0)&amp;""</f>
        <v>Standard Importance</v>
      </c>
      <c r="J195" s="4" t="str">
        <f>VLOOKUP($A195,'Institution Evaluation'!$A$56:$K$345,10,0)&amp;""</f>
        <v/>
      </c>
      <c r="K195" s="4">
        <f>IF($I195='Auto Responses'!$J$11,20,IF($I195='Auto Responses'!$J$13,5,10))</f>
        <v>10</v>
      </c>
      <c r="L195" s="107">
        <f>IF($E195='Auto Responses'!$L$13, 'Auto Responses'!$J$5,IF(AND($D195='Auto Responses'!$J$27,$H195=""),'Auto Responses'!$J$5,IF(AND($D195='Auto Responses'!$J$27,$H195='Auto Responses'!$J$7),1,IF(AND($D195='Auto Responses'!$J$27,$H195='Auto Responses'!$J$8),0,IF(OR(AND($F195=$G195,$H195=""),$H195='Auto Responses'!$J$7),1,0)))))</f>
        <v>0</v>
      </c>
      <c r="M195" s="4" t="str">
        <f>VLOOKUP($A195,'Institution Evaluation'!$A$56:$K$345,11,0)&amp;""</f>
        <v>FALSE</v>
      </c>
      <c r="N195" s="4">
        <f>IF($J195='Auto Responses'!$J$11,1,IF(AND($J195="",$I195='Auto Responses'!$J$11),1,0))</f>
        <v>0</v>
      </c>
      <c r="O195" s="107">
        <f>IF(OR($F$21='Auto Responses'!$J$4,$E195='Auto Responses'!$L$13,$F195='Auto Responses'!$J$5),'Auto Responses'!$J$5,IF($J195="",$K195,IF($J195='Auto Responses'!$J$13,5,IF($J195='Auto Responses'!$J$12,10,IF($J195='Auto Responses'!$J$11,20,0)))))</f>
        <v>10</v>
      </c>
      <c r="P195" s="107">
        <f>IF(OR($O195='Auto Responses'!$J$5,$L195='Auto Responses'!$J$5),'Auto Responses'!$J$5,$O195*$L195)</f>
        <v>0</v>
      </c>
      <c r="Q195" s="107">
        <f t="shared" si="21"/>
        <v>0</v>
      </c>
      <c r="R195" s="107">
        <f t="shared" si="19"/>
        <v>0</v>
      </c>
      <c r="S195" s="107">
        <f t="shared" si="22"/>
        <v>0</v>
      </c>
      <c r="T195" s="107">
        <f t="shared" si="23"/>
        <v>0</v>
      </c>
      <c r="U195" s="107">
        <f t="shared" si="20"/>
        <v>59</v>
      </c>
      <c r="V195" s="107">
        <f t="shared" si="24"/>
        <v>0</v>
      </c>
    </row>
    <row r="196" spans="1:22" ht="57" x14ac:dyDescent="0.2">
      <c r="A196" s="4" t="str">
        <f>Questions!$A196</f>
        <v>HIPA-10</v>
      </c>
      <c r="B196" s="4" t="str">
        <f t="shared" si="25"/>
        <v>HIPA</v>
      </c>
      <c r="C196" s="4" t="str">
        <f>VLOOKUP($A196,Questions!$A$3:$L$333,2,0)&amp;""</f>
        <v>Does your application require user and system administrator password changes at a frequency no greater than 90 days?</v>
      </c>
      <c r="D196" s="4" t="str">
        <f>VLOOKUP($A196,Questions!$A$3:$L$333,11,0)&amp;""</f>
        <v/>
      </c>
      <c r="E196" s="4" t="str">
        <f>VLOOKUP($A196,Questions!$A$3:$L$333,12,0)&amp;""</f>
        <v>Case-specific</v>
      </c>
      <c r="F196" s="4" t="str">
        <f>VLOOKUP($A196,'Institution Evaluation'!$A$56:$K$345,3,0)&amp;""</f>
        <v/>
      </c>
      <c r="G196" s="4" t="str">
        <f>VLOOKUP($A196,'Institution Evaluation'!$A$56:$K$345,7,0)&amp;""</f>
        <v>Yes</v>
      </c>
      <c r="H196" s="4" t="str">
        <f>VLOOKUP($A196,'Institution Evaluation'!$A$56:$K$345,8,0)&amp;""</f>
        <v/>
      </c>
      <c r="I196" s="4" t="str">
        <f>VLOOKUP($A196,'Institution Evaluation'!$A$56:$K$345,9,0)&amp;""</f>
        <v>Standard Importance</v>
      </c>
      <c r="J196" s="4" t="str">
        <f>VLOOKUP($A196,'Institution Evaluation'!$A$56:$K$345,10,0)&amp;""</f>
        <v/>
      </c>
      <c r="K196" s="4">
        <f>IF($I196='Auto Responses'!$J$11,20,IF($I196='Auto Responses'!$J$13,5,10))</f>
        <v>10</v>
      </c>
      <c r="L196" s="107">
        <f>IF($E196='Auto Responses'!$L$13, 'Auto Responses'!$J$5,IF(AND($D196='Auto Responses'!$J$27,$H196=""),'Auto Responses'!$J$5,IF(AND($D196='Auto Responses'!$J$27,$H196='Auto Responses'!$J$7),1,IF(AND($D196='Auto Responses'!$J$27,$H196='Auto Responses'!$J$8),0,IF(OR(AND($F196=$G196,$H196=""),$H196='Auto Responses'!$J$7),1,0)))))</f>
        <v>0</v>
      </c>
      <c r="M196" s="4" t="str">
        <f>VLOOKUP($A196,'Institution Evaluation'!$A$56:$K$345,11,0)&amp;""</f>
        <v>FALSE</v>
      </c>
      <c r="N196" s="4">
        <f>IF($J196='Auto Responses'!$J$11,1,IF(AND($J196="",$I196='Auto Responses'!$J$11),1,0))</f>
        <v>0</v>
      </c>
      <c r="O196" s="107">
        <f>IF(OR($F$21='Auto Responses'!$J$4,$E196='Auto Responses'!$L$13,$F196='Auto Responses'!$J$5),'Auto Responses'!$J$5,IF($J196="",$K196,IF($J196='Auto Responses'!$J$13,5,IF($J196='Auto Responses'!$J$12,10,IF($J196='Auto Responses'!$J$11,20,0)))))</f>
        <v>10</v>
      </c>
      <c r="P196" s="107">
        <f>IF(OR($O196='Auto Responses'!$J$5,$L196='Auto Responses'!$J$5),'Auto Responses'!$J$5,$O196*$L196)</f>
        <v>0</v>
      </c>
      <c r="Q196" s="107">
        <f t="shared" si="21"/>
        <v>0</v>
      </c>
      <c r="R196" s="107">
        <f t="shared" si="19"/>
        <v>0</v>
      </c>
      <c r="S196" s="107">
        <f t="shared" si="22"/>
        <v>0</v>
      </c>
      <c r="T196" s="107">
        <f t="shared" si="23"/>
        <v>0</v>
      </c>
      <c r="U196" s="107">
        <f t="shared" si="20"/>
        <v>59</v>
      </c>
      <c r="V196" s="107">
        <f t="shared" si="24"/>
        <v>0</v>
      </c>
    </row>
    <row r="197" spans="1:22" ht="57" x14ac:dyDescent="0.2">
      <c r="A197" s="4" t="str">
        <f>Questions!$A197</f>
        <v>HIPA-11</v>
      </c>
      <c r="B197" s="4" t="str">
        <f t="shared" si="25"/>
        <v>HIPA</v>
      </c>
      <c r="C197" s="4" t="str">
        <f>VLOOKUP($A197,Questions!$A$3:$L$333,2,0)&amp;""</f>
        <v>Does your application require users to set their own password after an administrator reset or on first use of the account?</v>
      </c>
      <c r="D197" s="4" t="str">
        <f>VLOOKUP($A197,Questions!$A$3:$L$333,11,0)&amp;""</f>
        <v/>
      </c>
      <c r="E197" s="4" t="str">
        <f>VLOOKUP($A197,Questions!$A$3:$L$333,12,0)&amp;""</f>
        <v>Case-specific</v>
      </c>
      <c r="F197" s="4" t="str">
        <f>VLOOKUP($A197,'Institution Evaluation'!$A$56:$K$345,3,0)&amp;""</f>
        <v/>
      </c>
      <c r="G197" s="4" t="str">
        <f>VLOOKUP($A197,'Institution Evaluation'!$A$56:$K$345,7,0)&amp;""</f>
        <v>Yes</v>
      </c>
      <c r="H197" s="4" t="str">
        <f>VLOOKUP($A197,'Institution Evaluation'!$A$56:$K$345,8,0)&amp;""</f>
        <v/>
      </c>
      <c r="I197" s="4" t="str">
        <f>VLOOKUP($A197,'Institution Evaluation'!$A$56:$K$345,9,0)&amp;""</f>
        <v>Standard Importance</v>
      </c>
      <c r="J197" s="4" t="str">
        <f>VLOOKUP($A197,'Institution Evaluation'!$A$56:$K$345,10,0)&amp;""</f>
        <v/>
      </c>
      <c r="K197" s="4">
        <f>IF($I197='Auto Responses'!$J$11,20,IF($I197='Auto Responses'!$J$13,5,10))</f>
        <v>10</v>
      </c>
      <c r="L197" s="107">
        <f>IF($E197='Auto Responses'!$L$13, 'Auto Responses'!$J$5,IF(AND($D197='Auto Responses'!$J$27,$H197=""),'Auto Responses'!$J$5,IF(AND($D197='Auto Responses'!$J$27,$H197='Auto Responses'!$J$7),1,IF(AND($D197='Auto Responses'!$J$27,$H197='Auto Responses'!$J$8),0,IF(OR(AND($F197=$G197,$H197=""),$H197='Auto Responses'!$J$7),1,0)))))</f>
        <v>0</v>
      </c>
      <c r="M197" s="4" t="str">
        <f>VLOOKUP($A197,'Institution Evaluation'!$A$56:$K$345,11,0)&amp;""</f>
        <v>FALSE</v>
      </c>
      <c r="N197" s="4">
        <f>IF($J197='Auto Responses'!$J$11,1,IF(AND($J197="",$I197='Auto Responses'!$J$11),1,0))</f>
        <v>0</v>
      </c>
      <c r="O197" s="107">
        <f>IF(OR($F$21='Auto Responses'!$J$4,$E197='Auto Responses'!$L$13,$F197='Auto Responses'!$J$5),'Auto Responses'!$J$5,IF($J197="",$K197,IF($J197='Auto Responses'!$J$13,5,IF($J197='Auto Responses'!$J$12,10,IF($J197='Auto Responses'!$J$11,20,0)))))</f>
        <v>10</v>
      </c>
      <c r="P197" s="107">
        <f>IF(OR($O197='Auto Responses'!$J$5,$L197='Auto Responses'!$J$5),'Auto Responses'!$J$5,$O197*$L197)</f>
        <v>0</v>
      </c>
      <c r="Q197" s="107">
        <f t="shared" si="21"/>
        <v>0</v>
      </c>
      <c r="R197" s="107">
        <f t="shared" ref="R197:R260" si="26">R196+Q197</f>
        <v>0</v>
      </c>
      <c r="S197" s="107">
        <f t="shared" si="22"/>
        <v>0</v>
      </c>
      <c r="T197" s="107">
        <f t="shared" si="23"/>
        <v>0</v>
      </c>
      <c r="U197" s="107">
        <f t="shared" ref="U197:U260" si="27">U196+T197</f>
        <v>59</v>
      </c>
      <c r="V197" s="107">
        <f t="shared" si="24"/>
        <v>0</v>
      </c>
    </row>
    <row r="198" spans="1:22" ht="57" x14ac:dyDescent="0.2">
      <c r="A198" s="4" t="str">
        <f>Questions!$A198</f>
        <v>HIPA-12</v>
      </c>
      <c r="B198" s="4" t="str">
        <f t="shared" si="25"/>
        <v>HIPA</v>
      </c>
      <c r="C198" s="4" t="str">
        <f>VLOOKUP($A198,Questions!$A$3:$L$333,2,0)&amp;""</f>
        <v>Does your application lock out an account after a number of failed login attempts?</v>
      </c>
      <c r="D198" s="4" t="str">
        <f>VLOOKUP($A198,Questions!$A$3:$L$333,11,0)&amp;""</f>
        <v/>
      </c>
      <c r="E198" s="4" t="str">
        <f>VLOOKUP($A198,Questions!$A$3:$L$333,12,0)&amp;""</f>
        <v>Case-specific</v>
      </c>
      <c r="F198" s="4" t="str">
        <f>VLOOKUP($A198,'Institution Evaluation'!$A$56:$K$345,3,0)&amp;""</f>
        <v/>
      </c>
      <c r="G198" s="4" t="str">
        <f>VLOOKUP($A198,'Institution Evaluation'!$A$56:$K$345,7,0)&amp;""</f>
        <v>Yes</v>
      </c>
      <c r="H198" s="4" t="str">
        <f>VLOOKUP($A198,'Institution Evaluation'!$A$56:$K$345,8,0)&amp;""</f>
        <v/>
      </c>
      <c r="I198" s="4" t="str">
        <f>VLOOKUP($A198,'Institution Evaluation'!$A$56:$K$345,9,0)&amp;""</f>
        <v>Standard Importance</v>
      </c>
      <c r="J198" s="4" t="str">
        <f>VLOOKUP($A198,'Institution Evaluation'!$A$56:$K$345,10,0)&amp;""</f>
        <v/>
      </c>
      <c r="K198" s="4">
        <f>IF($I198='Auto Responses'!$J$11,20,IF($I198='Auto Responses'!$J$13,5,10))</f>
        <v>10</v>
      </c>
      <c r="L198" s="107">
        <f>IF($E198='Auto Responses'!$L$13, 'Auto Responses'!$J$5,IF(AND($D198='Auto Responses'!$J$27,$H198=""),'Auto Responses'!$J$5,IF(AND($D198='Auto Responses'!$J$27,$H198='Auto Responses'!$J$7),1,IF(AND($D198='Auto Responses'!$J$27,$H198='Auto Responses'!$J$8),0,IF(OR(AND($F198=$G198,$H198=""),$H198='Auto Responses'!$J$7),1,0)))))</f>
        <v>0</v>
      </c>
      <c r="M198" s="4" t="str">
        <f>VLOOKUP($A198,'Institution Evaluation'!$A$56:$K$345,11,0)&amp;""</f>
        <v>FALSE</v>
      </c>
      <c r="N198" s="4">
        <f>IF($J198='Auto Responses'!$J$11,1,IF(AND($J198="",$I198='Auto Responses'!$J$11),1,0))</f>
        <v>0</v>
      </c>
      <c r="O198" s="107">
        <f>IF(OR($F$21='Auto Responses'!$J$4,$E198='Auto Responses'!$L$13,$F198='Auto Responses'!$J$5),'Auto Responses'!$J$5,IF($J198="",$K198,IF($J198='Auto Responses'!$J$13,5,IF($J198='Auto Responses'!$J$12,10,IF($J198='Auto Responses'!$J$11,20,0)))))</f>
        <v>10</v>
      </c>
      <c r="P198" s="107">
        <f>IF(OR($O198='Auto Responses'!$J$5,$L198='Auto Responses'!$J$5),'Auto Responses'!$J$5,$O198*$L198)</f>
        <v>0</v>
      </c>
      <c r="Q198" s="107">
        <f t="shared" si="21"/>
        <v>0</v>
      </c>
      <c r="R198" s="107">
        <f t="shared" si="26"/>
        <v>0</v>
      </c>
      <c r="S198" s="107">
        <f t="shared" si="22"/>
        <v>0</v>
      </c>
      <c r="T198" s="107">
        <f t="shared" si="23"/>
        <v>0</v>
      </c>
      <c r="U198" s="107">
        <f t="shared" si="27"/>
        <v>59</v>
      </c>
      <c r="V198" s="107">
        <f t="shared" si="24"/>
        <v>0</v>
      </c>
    </row>
    <row r="199" spans="1:22" ht="57" x14ac:dyDescent="0.2">
      <c r="A199" s="4" t="str">
        <f>Questions!$A199</f>
        <v>HIPA-13</v>
      </c>
      <c r="B199" s="4" t="str">
        <f t="shared" si="25"/>
        <v>HIPA</v>
      </c>
      <c r="C199" s="4" t="str">
        <f>VLOOKUP($A199,Questions!$A$3:$L$333,2,0)&amp;""</f>
        <v>Does your application automatically lock or log-out an account after a period of inactivity?</v>
      </c>
      <c r="D199" s="4" t="str">
        <f>VLOOKUP($A199,Questions!$A$3:$L$333,11,0)&amp;""</f>
        <v/>
      </c>
      <c r="E199" s="4" t="str">
        <f>VLOOKUP($A199,Questions!$A$3:$L$333,12,0)&amp;""</f>
        <v>Case-specific</v>
      </c>
      <c r="F199" s="4" t="str">
        <f>VLOOKUP($A199,'Institution Evaluation'!$A$56:$K$345,3,0)&amp;""</f>
        <v/>
      </c>
      <c r="G199" s="4" t="str">
        <f>VLOOKUP($A199,'Institution Evaluation'!$A$56:$K$345,7,0)&amp;""</f>
        <v>Yes</v>
      </c>
      <c r="H199" s="4" t="str">
        <f>VLOOKUP($A199,'Institution Evaluation'!$A$56:$K$345,8,0)&amp;""</f>
        <v/>
      </c>
      <c r="I199" s="4" t="str">
        <f>VLOOKUP($A199,'Institution Evaluation'!$A$56:$K$345,9,0)&amp;""</f>
        <v>Standard Importance</v>
      </c>
      <c r="J199" s="4" t="str">
        <f>VLOOKUP($A199,'Institution Evaluation'!$A$56:$K$345,10,0)&amp;""</f>
        <v/>
      </c>
      <c r="K199" s="4">
        <f>IF($I199='Auto Responses'!$J$11,20,IF($I199='Auto Responses'!$J$13,5,10))</f>
        <v>10</v>
      </c>
      <c r="L199" s="107">
        <f>IF($E199='Auto Responses'!$L$13, 'Auto Responses'!$J$5,IF(AND($D199='Auto Responses'!$J$27,$H199=""),'Auto Responses'!$J$5,IF(AND($D199='Auto Responses'!$J$27,$H199='Auto Responses'!$J$7),1,IF(AND($D199='Auto Responses'!$J$27,$H199='Auto Responses'!$J$8),0,IF(OR(AND($F199=$G199,$H199=""),$H199='Auto Responses'!$J$7),1,0)))))</f>
        <v>0</v>
      </c>
      <c r="M199" s="4" t="str">
        <f>VLOOKUP($A199,'Institution Evaluation'!$A$56:$K$345,11,0)&amp;""</f>
        <v>FALSE</v>
      </c>
      <c r="N199" s="4">
        <f>IF($J199='Auto Responses'!$J$11,1,IF(AND($J199="",$I199='Auto Responses'!$J$11),1,0))</f>
        <v>0</v>
      </c>
      <c r="O199" s="107">
        <f>IF(OR($F$21='Auto Responses'!$J$4,$E199='Auto Responses'!$L$13,$F199='Auto Responses'!$J$5),'Auto Responses'!$J$5,IF($J199="",$K199,IF($J199='Auto Responses'!$J$13,5,IF($J199='Auto Responses'!$J$12,10,IF($J199='Auto Responses'!$J$11,20,0)))))</f>
        <v>10</v>
      </c>
      <c r="P199" s="107">
        <f>IF(OR($O199='Auto Responses'!$J$5,$L199='Auto Responses'!$J$5),'Auto Responses'!$J$5,$O199*$L199)</f>
        <v>0</v>
      </c>
      <c r="Q199" s="107">
        <f t="shared" si="21"/>
        <v>0</v>
      </c>
      <c r="R199" s="107">
        <f t="shared" si="26"/>
        <v>0</v>
      </c>
      <c r="S199" s="107">
        <f t="shared" si="22"/>
        <v>0</v>
      </c>
      <c r="T199" s="107">
        <f t="shared" si="23"/>
        <v>0</v>
      </c>
      <c r="U199" s="107">
        <f t="shared" si="27"/>
        <v>59</v>
      </c>
      <c r="V199" s="107">
        <f t="shared" si="24"/>
        <v>0</v>
      </c>
    </row>
    <row r="200" spans="1:22" ht="57" x14ac:dyDescent="0.2">
      <c r="A200" s="4" t="str">
        <f>Questions!$A200</f>
        <v>HIPA-14</v>
      </c>
      <c r="B200" s="4" t="str">
        <f t="shared" si="25"/>
        <v>HIPA</v>
      </c>
      <c r="C200" s="4" t="str">
        <f>VLOOKUP($A200,Questions!$A$3:$L$333,2,0)&amp;""</f>
        <v>Are passwords visible in plain text, whether when stored or entered, including service level accounts (i.e., database accounts, etc.)?</v>
      </c>
      <c r="D200" s="4" t="str">
        <f>VLOOKUP($A200,Questions!$A$3:$L$333,11,0)&amp;""</f>
        <v/>
      </c>
      <c r="E200" s="4" t="str">
        <f>VLOOKUP($A200,Questions!$A$3:$L$333,12,0)&amp;""</f>
        <v>Case-specific</v>
      </c>
      <c r="F200" s="4" t="str">
        <f>VLOOKUP($A200,'Institution Evaluation'!$A$56:$K$345,3,0)&amp;""</f>
        <v/>
      </c>
      <c r="G200" s="4" t="str">
        <f>VLOOKUP($A200,'Institution Evaluation'!$A$56:$K$345,7,0)&amp;""</f>
        <v>No</v>
      </c>
      <c r="H200" s="4" t="str">
        <f>VLOOKUP($A200,'Institution Evaluation'!$A$56:$K$345,8,0)&amp;""</f>
        <v/>
      </c>
      <c r="I200" s="4" t="str">
        <f>VLOOKUP($A200,'Institution Evaluation'!$A$56:$K$345,9,0)&amp;""</f>
        <v>Standard Importance</v>
      </c>
      <c r="J200" s="4" t="str">
        <f>VLOOKUP($A200,'Institution Evaluation'!$A$56:$K$345,10,0)&amp;""</f>
        <v/>
      </c>
      <c r="K200" s="4">
        <f>IF($I200='Auto Responses'!$J$11,20,IF($I200='Auto Responses'!$J$13,5,10))</f>
        <v>10</v>
      </c>
      <c r="L200" s="107">
        <f>IF($E200='Auto Responses'!$L$13, 'Auto Responses'!$J$5,IF(AND($D200='Auto Responses'!$J$27,$H200=""),'Auto Responses'!$J$5,IF(AND($D200='Auto Responses'!$J$27,$H200='Auto Responses'!$J$7),1,IF(AND($D200='Auto Responses'!$J$27,$H200='Auto Responses'!$J$8),0,IF(OR(AND($F200=$G200,$H200=""),$H200='Auto Responses'!$J$7),1,0)))))</f>
        <v>0</v>
      </c>
      <c r="M200" s="4" t="str">
        <f>VLOOKUP($A200,'Institution Evaluation'!$A$56:$K$345,11,0)&amp;""</f>
        <v>FALSE</v>
      </c>
      <c r="N200" s="4">
        <f>IF($J200='Auto Responses'!$J$11,1,IF(AND($J200="",$I200='Auto Responses'!$J$11),1,0))</f>
        <v>0</v>
      </c>
      <c r="O200" s="107">
        <f>IF(OR($F$21='Auto Responses'!$J$4,$E200='Auto Responses'!$L$13,$F200='Auto Responses'!$J$5),'Auto Responses'!$J$5,IF($J200="",$K200,IF($J200='Auto Responses'!$J$13,5,IF($J200='Auto Responses'!$J$12,10,IF($J200='Auto Responses'!$J$11,20,0)))))</f>
        <v>10</v>
      </c>
      <c r="P200" s="107">
        <f>IF(OR($O200='Auto Responses'!$J$5,$L200='Auto Responses'!$J$5),'Auto Responses'!$J$5,$O200*$L200)</f>
        <v>0</v>
      </c>
      <c r="Q200" s="107">
        <f t="shared" si="21"/>
        <v>0</v>
      </c>
      <c r="R200" s="107">
        <f t="shared" si="26"/>
        <v>0</v>
      </c>
      <c r="S200" s="107">
        <f t="shared" si="22"/>
        <v>0</v>
      </c>
      <c r="T200" s="107">
        <f t="shared" si="23"/>
        <v>0</v>
      </c>
      <c r="U200" s="107">
        <f t="shared" si="27"/>
        <v>59</v>
      </c>
      <c r="V200" s="107">
        <f t="shared" si="24"/>
        <v>0</v>
      </c>
    </row>
    <row r="201" spans="1:22" ht="57" x14ac:dyDescent="0.2">
      <c r="A201" s="4" t="str">
        <f>Questions!$A201</f>
        <v>HIPA-15</v>
      </c>
      <c r="B201" s="4" t="str">
        <f t="shared" si="25"/>
        <v>HIPA</v>
      </c>
      <c r="C201" s="4" t="str">
        <f>VLOOKUP($A201,Questions!$A$3:$L$333,2,0)&amp;""</f>
        <v>If the application is institution-hosted, can all service level and administrative account passwords be changed by the institution?</v>
      </c>
      <c r="D201" s="4" t="str">
        <f>VLOOKUP($A201,Questions!$A$3:$L$333,11,0)&amp;""</f>
        <v/>
      </c>
      <c r="E201" s="4" t="str">
        <f>VLOOKUP($A201,Questions!$A$3:$L$333,12,0)&amp;""</f>
        <v>Case-specific</v>
      </c>
      <c r="F201" s="4" t="str">
        <f>VLOOKUP($A201,'Institution Evaluation'!$A$56:$K$345,3,0)&amp;""</f>
        <v/>
      </c>
      <c r="G201" s="4" t="str">
        <f>VLOOKUP($A201,'Institution Evaluation'!$A$56:$K$345,7,0)&amp;""</f>
        <v>Yes</v>
      </c>
      <c r="H201" s="4" t="str">
        <f>VLOOKUP($A201,'Institution Evaluation'!$A$56:$K$345,8,0)&amp;""</f>
        <v/>
      </c>
      <c r="I201" s="4" t="str">
        <f>VLOOKUP($A201,'Institution Evaluation'!$A$56:$K$345,9,0)&amp;""</f>
        <v>Standard Importance</v>
      </c>
      <c r="J201" s="4" t="str">
        <f>VLOOKUP($A201,'Institution Evaluation'!$A$56:$K$345,10,0)&amp;""</f>
        <v/>
      </c>
      <c r="K201" s="4">
        <f>IF($I201='Auto Responses'!$J$11,20,IF($I201='Auto Responses'!$J$13,5,10))</f>
        <v>10</v>
      </c>
      <c r="L201" s="107">
        <f>IF($E201='Auto Responses'!$L$13, 'Auto Responses'!$J$5,IF(AND($D201='Auto Responses'!$J$27,$H201=""),'Auto Responses'!$J$5,IF(AND($D201='Auto Responses'!$J$27,$H201='Auto Responses'!$J$7),1,IF(AND($D201='Auto Responses'!$J$27,$H201='Auto Responses'!$J$8),0,IF(OR(AND($F201=$G201,$H201=""),$H201='Auto Responses'!$J$7),1,0)))))</f>
        <v>0</v>
      </c>
      <c r="M201" s="4" t="str">
        <f>VLOOKUP($A201,'Institution Evaluation'!$A$56:$K$345,11,0)&amp;""</f>
        <v>FALSE</v>
      </c>
      <c r="N201" s="4">
        <f>IF($J201='Auto Responses'!$J$11,1,IF(AND($J201="",$I201='Auto Responses'!$J$11),1,0))</f>
        <v>0</v>
      </c>
      <c r="O201" s="107">
        <f>IF(OR($F$21='Auto Responses'!$J$4,$E201='Auto Responses'!$L$13,$F201='Auto Responses'!$J$5),'Auto Responses'!$J$5,IF($J201="",$K201,IF($J201='Auto Responses'!$J$13,5,IF($J201='Auto Responses'!$J$12,10,IF($J201='Auto Responses'!$J$11,20,0)))))</f>
        <v>10</v>
      </c>
      <c r="P201" s="107">
        <f>IF(OR($O201='Auto Responses'!$J$5,$L201='Auto Responses'!$J$5),'Auto Responses'!$J$5,$O201*$L201)</f>
        <v>0</v>
      </c>
      <c r="Q201" s="107">
        <f t="shared" si="21"/>
        <v>0</v>
      </c>
      <c r="R201" s="107">
        <f t="shared" si="26"/>
        <v>0</v>
      </c>
      <c r="S201" s="107">
        <f t="shared" si="22"/>
        <v>0</v>
      </c>
      <c r="T201" s="107">
        <f t="shared" si="23"/>
        <v>0</v>
      </c>
      <c r="U201" s="107">
        <f t="shared" si="27"/>
        <v>59</v>
      </c>
      <c r="V201" s="107">
        <f t="shared" si="24"/>
        <v>0</v>
      </c>
    </row>
    <row r="202" spans="1:22" ht="57" x14ac:dyDescent="0.2">
      <c r="A202" s="4" t="str">
        <f>Questions!$A202</f>
        <v>HIPA-16</v>
      </c>
      <c r="B202" s="4" t="str">
        <f t="shared" si="25"/>
        <v>HIPA</v>
      </c>
      <c r="C202" s="4" t="str">
        <f>VLOOKUP($A202,Questions!$A$3:$L$333,2,0)&amp;""</f>
        <v>Does your application provide the ability to define user access levels?</v>
      </c>
      <c r="D202" s="4" t="str">
        <f>VLOOKUP($A202,Questions!$A$3:$L$333,11,0)&amp;""</f>
        <v/>
      </c>
      <c r="E202" s="4" t="str">
        <f>VLOOKUP($A202,Questions!$A$3:$L$333,12,0)&amp;""</f>
        <v>Case-specific</v>
      </c>
      <c r="F202" s="4" t="str">
        <f>VLOOKUP($A202,'Institution Evaluation'!$A$56:$K$345,3,0)&amp;""</f>
        <v/>
      </c>
      <c r="G202" s="4" t="str">
        <f>VLOOKUP($A202,'Institution Evaluation'!$A$56:$K$345,7,0)&amp;""</f>
        <v>Yes</v>
      </c>
      <c r="H202" s="4" t="str">
        <f>VLOOKUP($A202,'Institution Evaluation'!$A$56:$K$345,8,0)&amp;""</f>
        <v/>
      </c>
      <c r="I202" s="4" t="str">
        <f>VLOOKUP($A202,'Institution Evaluation'!$A$56:$K$345,9,0)&amp;""</f>
        <v>Standard Importance</v>
      </c>
      <c r="J202" s="4" t="str">
        <f>VLOOKUP($A202,'Institution Evaluation'!$A$56:$K$345,10,0)&amp;""</f>
        <v/>
      </c>
      <c r="K202" s="4">
        <f>IF($I202='Auto Responses'!$J$11,20,IF($I202='Auto Responses'!$J$13,5,10))</f>
        <v>10</v>
      </c>
      <c r="L202" s="107">
        <f>IF($E202='Auto Responses'!$L$13, 'Auto Responses'!$J$5,IF(AND($D202='Auto Responses'!$J$27,$H202=""),'Auto Responses'!$J$5,IF(AND($D202='Auto Responses'!$J$27,$H202='Auto Responses'!$J$7),1,IF(AND($D202='Auto Responses'!$J$27,$H202='Auto Responses'!$J$8),0,IF(OR(AND($F202=$G202,$H202=""),$H202='Auto Responses'!$J$7),1,0)))))</f>
        <v>0</v>
      </c>
      <c r="M202" s="4" t="str">
        <f>VLOOKUP($A202,'Institution Evaluation'!$A$56:$K$345,11,0)&amp;""</f>
        <v>FALSE</v>
      </c>
      <c r="N202" s="4">
        <f>IF($J202='Auto Responses'!$J$11,1,IF(AND($J202="",$I202='Auto Responses'!$J$11),1,0))</f>
        <v>0</v>
      </c>
      <c r="O202" s="107">
        <f>IF(OR($F$21='Auto Responses'!$J$4,$E202='Auto Responses'!$L$13,$F202='Auto Responses'!$J$5),'Auto Responses'!$J$5,IF($J202="",$K202,IF($J202='Auto Responses'!$J$13,5,IF($J202='Auto Responses'!$J$12,10,IF($J202='Auto Responses'!$J$11,20,0)))))</f>
        <v>10</v>
      </c>
      <c r="P202" s="107">
        <f>IF(OR($O202='Auto Responses'!$J$5,$L202='Auto Responses'!$J$5),'Auto Responses'!$J$5,$O202*$L202)</f>
        <v>0</v>
      </c>
      <c r="Q202" s="107">
        <f t="shared" si="21"/>
        <v>0</v>
      </c>
      <c r="R202" s="107">
        <f t="shared" si="26"/>
        <v>0</v>
      </c>
      <c r="S202" s="107">
        <f t="shared" si="22"/>
        <v>0</v>
      </c>
      <c r="T202" s="107">
        <f t="shared" si="23"/>
        <v>0</v>
      </c>
      <c r="U202" s="107">
        <f t="shared" si="27"/>
        <v>59</v>
      </c>
      <c r="V202" s="107">
        <f t="shared" si="24"/>
        <v>0</v>
      </c>
    </row>
    <row r="203" spans="1:22" ht="57" x14ac:dyDescent="0.2">
      <c r="A203" s="4" t="str">
        <f>Questions!$A203</f>
        <v>HIPA-17</v>
      </c>
      <c r="B203" s="4" t="str">
        <f t="shared" si="25"/>
        <v>HIPA</v>
      </c>
      <c r="C203" s="4" t="str">
        <f>VLOOKUP($A203,Questions!$A$3:$L$333,2,0)&amp;""</f>
        <v>Does your application support varying levels of access to administrative tasks defined individually per user?</v>
      </c>
      <c r="D203" s="4" t="str">
        <f>VLOOKUP($A203,Questions!$A$3:$L$333,11,0)&amp;""</f>
        <v/>
      </c>
      <c r="E203" s="4" t="str">
        <f>VLOOKUP($A203,Questions!$A$3:$L$333,12,0)&amp;""</f>
        <v>Case-specific</v>
      </c>
      <c r="F203" s="4" t="str">
        <f>VLOOKUP($A203,'Institution Evaluation'!$A$56:$K$345,3,0)&amp;""</f>
        <v/>
      </c>
      <c r="G203" s="4" t="str">
        <f>VLOOKUP($A203,'Institution Evaluation'!$A$56:$K$345,7,0)&amp;""</f>
        <v>Yes</v>
      </c>
      <c r="H203" s="4" t="str">
        <f>VLOOKUP($A203,'Institution Evaluation'!$A$56:$K$345,8,0)&amp;""</f>
        <v/>
      </c>
      <c r="I203" s="4" t="str">
        <f>VLOOKUP($A203,'Institution Evaluation'!$A$56:$K$345,9,0)&amp;""</f>
        <v>Standard Importance</v>
      </c>
      <c r="J203" s="4" t="str">
        <f>VLOOKUP($A203,'Institution Evaluation'!$A$56:$K$345,10,0)&amp;""</f>
        <v/>
      </c>
      <c r="K203" s="4">
        <f>IF($I203='Auto Responses'!$J$11,20,IF($I203='Auto Responses'!$J$13,5,10))</f>
        <v>10</v>
      </c>
      <c r="L203" s="107">
        <f>IF($E203='Auto Responses'!$L$13, 'Auto Responses'!$J$5,IF(AND($D203='Auto Responses'!$J$27,$H203=""),'Auto Responses'!$J$5,IF(AND($D203='Auto Responses'!$J$27,$H203='Auto Responses'!$J$7),1,IF(AND($D203='Auto Responses'!$J$27,$H203='Auto Responses'!$J$8),0,IF(OR(AND($F203=$G203,$H203=""),$H203='Auto Responses'!$J$7),1,0)))))</f>
        <v>0</v>
      </c>
      <c r="M203" s="4" t="str">
        <f>VLOOKUP($A203,'Institution Evaluation'!$A$56:$K$345,11,0)&amp;""</f>
        <v>FALSE</v>
      </c>
      <c r="N203" s="4">
        <f>IF($J203='Auto Responses'!$J$11,1,IF(AND($J203="",$I203='Auto Responses'!$J$11),1,0))</f>
        <v>0</v>
      </c>
      <c r="O203" s="107">
        <f>IF(OR($F$21='Auto Responses'!$J$4,$E203='Auto Responses'!$L$13,$F203='Auto Responses'!$J$5),'Auto Responses'!$J$5,IF($J203="",$K203,IF($J203='Auto Responses'!$J$13,5,IF($J203='Auto Responses'!$J$12,10,IF($J203='Auto Responses'!$J$11,20,0)))))</f>
        <v>10</v>
      </c>
      <c r="P203" s="107">
        <f>IF(OR($O203='Auto Responses'!$J$5,$L203='Auto Responses'!$J$5),'Auto Responses'!$J$5,$O203*$L203)</f>
        <v>0</v>
      </c>
      <c r="Q203" s="107">
        <f t="shared" si="21"/>
        <v>0</v>
      </c>
      <c r="R203" s="107">
        <f t="shared" si="26"/>
        <v>0</v>
      </c>
      <c r="S203" s="107">
        <f t="shared" si="22"/>
        <v>0</v>
      </c>
      <c r="T203" s="107">
        <f t="shared" si="23"/>
        <v>0</v>
      </c>
      <c r="U203" s="107">
        <f t="shared" si="27"/>
        <v>59</v>
      </c>
      <c r="V203" s="107">
        <f t="shared" si="24"/>
        <v>0</v>
      </c>
    </row>
    <row r="204" spans="1:22" ht="57" x14ac:dyDescent="0.2">
      <c r="A204" s="4" t="str">
        <f>Questions!$A204</f>
        <v>HIPA-18</v>
      </c>
      <c r="B204" s="4" t="str">
        <f t="shared" si="25"/>
        <v>HIPA</v>
      </c>
      <c r="C204" s="4" t="str">
        <f>VLOOKUP($A204,Questions!$A$3:$L$333,2,0)&amp;""</f>
        <v>Does your application support varying levels of access to records based on user ID?</v>
      </c>
      <c r="D204" s="4" t="str">
        <f>VLOOKUP($A204,Questions!$A$3:$L$333,11,0)&amp;""</f>
        <v/>
      </c>
      <c r="E204" s="4" t="str">
        <f>VLOOKUP($A204,Questions!$A$3:$L$333,12,0)&amp;""</f>
        <v>Case-specific</v>
      </c>
      <c r="F204" s="4" t="str">
        <f>VLOOKUP($A204,'Institution Evaluation'!$A$56:$K$345,3,0)&amp;""</f>
        <v/>
      </c>
      <c r="G204" s="4" t="str">
        <f>VLOOKUP($A204,'Institution Evaluation'!$A$56:$K$345,7,0)&amp;""</f>
        <v>No</v>
      </c>
      <c r="H204" s="4" t="str">
        <f>VLOOKUP($A204,'Institution Evaluation'!$A$56:$K$345,8,0)&amp;""</f>
        <v/>
      </c>
      <c r="I204" s="4" t="str">
        <f>VLOOKUP($A204,'Institution Evaluation'!$A$56:$K$345,9,0)&amp;""</f>
        <v>Standard Importance</v>
      </c>
      <c r="J204" s="4" t="str">
        <f>VLOOKUP($A204,'Institution Evaluation'!$A$56:$K$345,10,0)&amp;""</f>
        <v/>
      </c>
      <c r="K204" s="4">
        <f>IF($I204='Auto Responses'!$J$11,20,IF($I204='Auto Responses'!$J$13,5,10))</f>
        <v>10</v>
      </c>
      <c r="L204" s="107">
        <f>IF($E204='Auto Responses'!$L$13, 'Auto Responses'!$J$5,IF(AND($D204='Auto Responses'!$J$27,$H204=""),'Auto Responses'!$J$5,IF(AND($D204='Auto Responses'!$J$27,$H204='Auto Responses'!$J$7),1,IF(AND($D204='Auto Responses'!$J$27,$H204='Auto Responses'!$J$8),0,IF(OR(AND($F204=$G204,$H204=""),$H204='Auto Responses'!$J$7),1,0)))))</f>
        <v>0</v>
      </c>
      <c r="M204" s="4" t="str">
        <f>VLOOKUP($A204,'Institution Evaluation'!$A$56:$K$345,11,0)&amp;""</f>
        <v>FALSE</v>
      </c>
      <c r="N204" s="4">
        <f>IF($J204='Auto Responses'!$J$11,1,IF(AND($J204="",$I204='Auto Responses'!$J$11),1,0))</f>
        <v>0</v>
      </c>
      <c r="O204" s="107">
        <f>IF(OR($F$21='Auto Responses'!$J$4,$E204='Auto Responses'!$L$13,$F204='Auto Responses'!$J$5),'Auto Responses'!$J$5,IF($J204="",$K204,IF($J204='Auto Responses'!$J$13,5,IF($J204='Auto Responses'!$J$12,10,IF($J204='Auto Responses'!$J$11,20,0)))))</f>
        <v>10</v>
      </c>
      <c r="P204" s="107">
        <f>IF(OR($O204='Auto Responses'!$J$5,$L204='Auto Responses'!$J$5),'Auto Responses'!$J$5,$O204*$L204)</f>
        <v>0</v>
      </c>
      <c r="Q204" s="107">
        <f t="shared" si="21"/>
        <v>0</v>
      </c>
      <c r="R204" s="107">
        <f t="shared" si="26"/>
        <v>0</v>
      </c>
      <c r="S204" s="107">
        <f t="shared" si="22"/>
        <v>0</v>
      </c>
      <c r="T204" s="107">
        <f t="shared" si="23"/>
        <v>0</v>
      </c>
      <c r="U204" s="107">
        <f t="shared" si="27"/>
        <v>59</v>
      </c>
      <c r="V204" s="107">
        <f t="shared" si="24"/>
        <v>0</v>
      </c>
    </row>
    <row r="205" spans="1:22" ht="57" x14ac:dyDescent="0.2">
      <c r="A205" s="4" t="str">
        <f>Questions!$A205</f>
        <v>HIPA-19</v>
      </c>
      <c r="B205" s="4" t="str">
        <f t="shared" si="25"/>
        <v>HIPA</v>
      </c>
      <c r="C205" s="4" t="str">
        <f>VLOOKUP($A205,Questions!$A$3:$L$333,2,0)&amp;""</f>
        <v>Is there a limit to the number of groups to which a user can be assigned?</v>
      </c>
      <c r="D205" s="4" t="str">
        <f>VLOOKUP($A205,Questions!$A$3:$L$333,11,0)&amp;""</f>
        <v/>
      </c>
      <c r="E205" s="4" t="str">
        <f>VLOOKUP($A205,Questions!$A$3:$L$333,12,0)&amp;""</f>
        <v>Case-specific</v>
      </c>
      <c r="F205" s="4" t="str">
        <f>VLOOKUP($A205,'Institution Evaluation'!$A$56:$K$345,3,0)&amp;""</f>
        <v/>
      </c>
      <c r="G205" s="4" t="str">
        <f>VLOOKUP($A205,'Institution Evaluation'!$A$56:$K$345,7,0)&amp;""</f>
        <v>Yes</v>
      </c>
      <c r="H205" s="4" t="str">
        <f>VLOOKUP($A205,'Institution Evaluation'!$A$56:$K$345,8,0)&amp;""</f>
        <v/>
      </c>
      <c r="I205" s="4" t="str">
        <f>VLOOKUP($A205,'Institution Evaluation'!$A$56:$K$345,9,0)&amp;""</f>
        <v>Standard Importance</v>
      </c>
      <c r="J205" s="4" t="str">
        <f>VLOOKUP($A205,'Institution Evaluation'!$A$56:$K$345,10,0)&amp;""</f>
        <v/>
      </c>
      <c r="K205" s="4">
        <f>IF($I205='Auto Responses'!$J$11,20,IF($I205='Auto Responses'!$J$13,5,10))</f>
        <v>10</v>
      </c>
      <c r="L205" s="107">
        <f>IF($E205='Auto Responses'!$L$13, 'Auto Responses'!$J$5,IF(AND($D205='Auto Responses'!$J$27,$H205=""),'Auto Responses'!$J$5,IF(AND($D205='Auto Responses'!$J$27,$H205='Auto Responses'!$J$7),1,IF(AND($D205='Auto Responses'!$J$27,$H205='Auto Responses'!$J$8),0,IF(OR(AND($F205=$G205,$H205=""),$H205='Auto Responses'!$J$7),1,0)))))</f>
        <v>0</v>
      </c>
      <c r="M205" s="4" t="str">
        <f>VLOOKUP($A205,'Institution Evaluation'!$A$56:$K$345,11,0)&amp;""</f>
        <v>FALSE</v>
      </c>
      <c r="N205" s="4">
        <f>IF($J205='Auto Responses'!$J$11,1,IF(AND($J205="",$I205='Auto Responses'!$J$11),1,0))</f>
        <v>0</v>
      </c>
      <c r="O205" s="107">
        <f>IF(OR($F$21='Auto Responses'!$J$4,$E205='Auto Responses'!$L$13,$F205='Auto Responses'!$J$5),'Auto Responses'!$J$5,IF($J205="",$K205,IF($J205='Auto Responses'!$J$13,5,IF($J205='Auto Responses'!$J$12,10,IF($J205='Auto Responses'!$J$11,20,0)))))</f>
        <v>10</v>
      </c>
      <c r="P205" s="107">
        <f>IF(OR($O205='Auto Responses'!$J$5,$L205='Auto Responses'!$J$5),'Auto Responses'!$J$5,$O205*$L205)</f>
        <v>0</v>
      </c>
      <c r="Q205" s="107">
        <f t="shared" si="21"/>
        <v>0</v>
      </c>
      <c r="R205" s="107">
        <f t="shared" si="26"/>
        <v>0</v>
      </c>
      <c r="S205" s="107">
        <f t="shared" si="22"/>
        <v>0</v>
      </c>
      <c r="T205" s="107">
        <f t="shared" si="23"/>
        <v>0</v>
      </c>
      <c r="U205" s="107">
        <f t="shared" si="27"/>
        <v>59</v>
      </c>
      <c r="V205" s="107">
        <f t="shared" si="24"/>
        <v>0</v>
      </c>
    </row>
    <row r="206" spans="1:22" ht="57" x14ac:dyDescent="0.2">
      <c r="A206" s="4" t="str">
        <f>Questions!$A206</f>
        <v>HIPA-20</v>
      </c>
      <c r="B206" s="4" t="str">
        <f t="shared" si="25"/>
        <v>HIPA</v>
      </c>
      <c r="C206" s="4" t="str">
        <f>VLOOKUP($A206,Questions!$A$3:$L$333,2,0)&amp;""</f>
        <v>Do accounts used for solution provider-supplied remote support abide by the same authentication policies and access logging as the rest of the system?</v>
      </c>
      <c r="D206" s="4" t="str">
        <f>VLOOKUP($A206,Questions!$A$3:$L$333,11,0)&amp;""</f>
        <v/>
      </c>
      <c r="E206" s="4" t="str">
        <f>VLOOKUP($A206,Questions!$A$3:$L$333,12,0)&amp;""</f>
        <v>Case-specific</v>
      </c>
      <c r="F206" s="4" t="str">
        <f>VLOOKUP($A206,'Institution Evaluation'!$A$56:$K$345,3,0)&amp;""</f>
        <v/>
      </c>
      <c r="G206" s="4" t="str">
        <f>VLOOKUP($A206,'Institution Evaluation'!$A$56:$K$345,7,0)&amp;""</f>
        <v>Yes</v>
      </c>
      <c r="H206" s="4" t="str">
        <f>VLOOKUP($A206,'Institution Evaluation'!$A$56:$K$345,8,0)&amp;""</f>
        <v/>
      </c>
      <c r="I206" s="4" t="str">
        <f>VLOOKUP($A206,'Institution Evaluation'!$A$56:$K$345,9,0)&amp;""</f>
        <v>Standard Importance</v>
      </c>
      <c r="J206" s="4" t="str">
        <f>VLOOKUP($A206,'Institution Evaluation'!$A$56:$K$345,10,0)&amp;""</f>
        <v/>
      </c>
      <c r="K206" s="4">
        <f>IF($I206='Auto Responses'!$J$11,20,IF($I206='Auto Responses'!$J$13,5,10))</f>
        <v>10</v>
      </c>
      <c r="L206" s="107">
        <f>IF($E206='Auto Responses'!$L$13, 'Auto Responses'!$J$5,IF(AND($D206='Auto Responses'!$J$27,$H206=""),'Auto Responses'!$J$5,IF(AND($D206='Auto Responses'!$J$27,$H206='Auto Responses'!$J$7),1,IF(AND($D206='Auto Responses'!$J$27,$H206='Auto Responses'!$J$8),0,IF(OR(AND($F206=$G206,$H206=""),$H206='Auto Responses'!$J$7),1,0)))))</f>
        <v>0</v>
      </c>
      <c r="M206" s="4" t="str">
        <f>VLOOKUP($A206,'Institution Evaluation'!$A$56:$K$345,11,0)&amp;""</f>
        <v>FALSE</v>
      </c>
      <c r="N206" s="4">
        <f>IF($J206='Auto Responses'!$J$11,1,IF(AND($J206="",$I206='Auto Responses'!$J$11),1,0))</f>
        <v>0</v>
      </c>
      <c r="O206" s="107">
        <f>IF(OR($F$21='Auto Responses'!$J$4,$E206='Auto Responses'!$L$13,$F206='Auto Responses'!$J$5),'Auto Responses'!$J$5,IF($J206="",$K206,IF($J206='Auto Responses'!$J$13,5,IF($J206='Auto Responses'!$J$12,10,IF($J206='Auto Responses'!$J$11,20,0)))))</f>
        <v>10</v>
      </c>
      <c r="P206" s="107">
        <f>IF(OR($O206='Auto Responses'!$J$5,$L206='Auto Responses'!$J$5),'Auto Responses'!$J$5,$O206*$L206)</f>
        <v>0</v>
      </c>
      <c r="Q206" s="107">
        <f t="shared" si="21"/>
        <v>0</v>
      </c>
      <c r="R206" s="107">
        <f t="shared" si="26"/>
        <v>0</v>
      </c>
      <c r="S206" s="107">
        <f t="shared" si="22"/>
        <v>0</v>
      </c>
      <c r="T206" s="107">
        <f t="shared" si="23"/>
        <v>0</v>
      </c>
      <c r="U206" s="107">
        <f t="shared" si="27"/>
        <v>59</v>
      </c>
      <c r="V206" s="107">
        <f t="shared" si="24"/>
        <v>0</v>
      </c>
    </row>
    <row r="207" spans="1:22" ht="57" x14ac:dyDescent="0.2">
      <c r="A207" s="4" t="str">
        <f>Questions!$A207</f>
        <v>HIPA-21</v>
      </c>
      <c r="B207" s="4" t="str">
        <f t="shared" si="25"/>
        <v>HIPA</v>
      </c>
      <c r="C207" s="4" t="str">
        <f>VLOOKUP($A207,Questions!$A$3:$L$333,2,0)&amp;""</f>
        <v>Does the application log record access including specific user, date/time of access, and originating IP or device?</v>
      </c>
      <c r="D207" s="4" t="str">
        <f>VLOOKUP($A207,Questions!$A$3:$L$333,11,0)&amp;""</f>
        <v/>
      </c>
      <c r="E207" s="4" t="str">
        <f>VLOOKUP($A207,Questions!$A$3:$L$333,12,0)&amp;""</f>
        <v>Case-specific</v>
      </c>
      <c r="F207" s="4" t="str">
        <f>VLOOKUP($A207,'Institution Evaluation'!$A$56:$K$345,3,0)&amp;""</f>
        <v/>
      </c>
      <c r="G207" s="4" t="str">
        <f>VLOOKUP($A207,'Institution Evaluation'!$A$56:$K$345,7,0)&amp;""</f>
        <v>Yes</v>
      </c>
      <c r="H207" s="4" t="str">
        <f>VLOOKUP($A207,'Institution Evaluation'!$A$56:$K$345,8,0)&amp;""</f>
        <v/>
      </c>
      <c r="I207" s="4" t="str">
        <f>VLOOKUP($A207,'Institution Evaluation'!$A$56:$K$345,9,0)&amp;""</f>
        <v>Standard Importance</v>
      </c>
      <c r="J207" s="4" t="str">
        <f>VLOOKUP($A207,'Institution Evaluation'!$A$56:$K$345,10,0)&amp;""</f>
        <v/>
      </c>
      <c r="K207" s="4">
        <f>IF($I207='Auto Responses'!$J$11,20,IF($I207='Auto Responses'!$J$13,5,10))</f>
        <v>10</v>
      </c>
      <c r="L207" s="107">
        <f>IF($E207='Auto Responses'!$L$13, 'Auto Responses'!$J$5,IF(AND($D207='Auto Responses'!$J$27,$H207=""),'Auto Responses'!$J$5,IF(AND($D207='Auto Responses'!$J$27,$H207='Auto Responses'!$J$7),1,IF(AND($D207='Auto Responses'!$J$27,$H207='Auto Responses'!$J$8),0,IF(OR(AND($F207=$G207,$H207=""),$H207='Auto Responses'!$J$7),1,0)))))</f>
        <v>0</v>
      </c>
      <c r="M207" s="4" t="str">
        <f>VLOOKUP($A207,'Institution Evaluation'!$A$56:$K$345,11,0)&amp;""</f>
        <v>FALSE</v>
      </c>
      <c r="N207" s="4">
        <f>IF($J207='Auto Responses'!$J$11,1,IF(AND($J207="",$I207='Auto Responses'!$J$11),1,0))</f>
        <v>0</v>
      </c>
      <c r="O207" s="107">
        <f>IF(OR($F$21='Auto Responses'!$J$4,$E207='Auto Responses'!$L$13,$F207='Auto Responses'!$J$5),'Auto Responses'!$J$5,IF($J207="",$K207,IF($J207='Auto Responses'!$J$13,5,IF($J207='Auto Responses'!$J$12,10,IF($J207='Auto Responses'!$J$11,20,0)))))</f>
        <v>10</v>
      </c>
      <c r="P207" s="107">
        <f>IF(OR($O207='Auto Responses'!$J$5,$L207='Auto Responses'!$J$5),'Auto Responses'!$J$5,$O207*$L207)</f>
        <v>0</v>
      </c>
      <c r="Q207" s="107">
        <f t="shared" si="21"/>
        <v>0</v>
      </c>
      <c r="R207" s="107">
        <f t="shared" si="26"/>
        <v>0</v>
      </c>
      <c r="S207" s="107">
        <f t="shared" si="22"/>
        <v>0</v>
      </c>
      <c r="T207" s="107">
        <f t="shared" si="23"/>
        <v>0</v>
      </c>
      <c r="U207" s="107">
        <f t="shared" si="27"/>
        <v>59</v>
      </c>
      <c r="V207" s="107">
        <f t="shared" si="24"/>
        <v>0</v>
      </c>
    </row>
    <row r="208" spans="1:22" ht="57" x14ac:dyDescent="0.2">
      <c r="A208" s="4" t="str">
        <f>Questions!$A208</f>
        <v>HIPA-22</v>
      </c>
      <c r="B208" s="4" t="str">
        <f t="shared" si="25"/>
        <v>HIPA</v>
      </c>
      <c r="C208" s="4" t="str">
        <f>VLOOKUP($A208,Questions!$A$3:$L$333,2,0)&amp;""</f>
        <v>Does the application log administrative activity, such as user account access changes and password changes, including specific user, date/time of changes, and originating IP or device?</v>
      </c>
      <c r="D208" s="4" t="str">
        <f>VLOOKUP($A208,Questions!$A$3:$L$333,11,0)&amp;""</f>
        <v/>
      </c>
      <c r="E208" s="4" t="str">
        <f>VLOOKUP($A208,Questions!$A$3:$L$333,12,0)&amp;""</f>
        <v>Case-specific</v>
      </c>
      <c r="F208" s="4" t="str">
        <f>VLOOKUP($A208,'Institution Evaluation'!$A$56:$K$345,3,0)&amp;""</f>
        <v/>
      </c>
      <c r="G208" s="4" t="str">
        <f>VLOOKUP($A208,'Institution Evaluation'!$A$56:$K$345,7,0)&amp;""</f>
        <v>Yes</v>
      </c>
      <c r="H208" s="4" t="str">
        <f>VLOOKUP($A208,'Institution Evaluation'!$A$56:$K$345,8,0)&amp;""</f>
        <v/>
      </c>
      <c r="I208" s="4" t="str">
        <f>VLOOKUP($A208,'Institution Evaluation'!$A$56:$K$345,9,0)&amp;""</f>
        <v>Standard Importance</v>
      </c>
      <c r="J208" s="4" t="str">
        <f>VLOOKUP($A208,'Institution Evaluation'!$A$56:$K$345,10,0)&amp;""</f>
        <v/>
      </c>
      <c r="K208" s="4">
        <f>IF($I208='Auto Responses'!$J$11,20,IF($I208='Auto Responses'!$J$13,5,10))</f>
        <v>10</v>
      </c>
      <c r="L208" s="107">
        <f>IF($E208='Auto Responses'!$L$13, 'Auto Responses'!$J$5,IF(AND($D208='Auto Responses'!$J$27,$H208=""),'Auto Responses'!$J$5,IF(AND($D208='Auto Responses'!$J$27,$H208='Auto Responses'!$J$7),1,IF(AND($D208='Auto Responses'!$J$27,$H208='Auto Responses'!$J$8),0,IF(OR(AND($F208=$G208,$H208=""),$H208='Auto Responses'!$J$7),1,0)))))</f>
        <v>0</v>
      </c>
      <c r="M208" s="4" t="str">
        <f>VLOOKUP($A208,'Institution Evaluation'!$A$56:$K$345,11,0)&amp;""</f>
        <v>FALSE</v>
      </c>
      <c r="N208" s="4">
        <f>IF($J208='Auto Responses'!$J$11,1,IF(AND($J208="",$I208='Auto Responses'!$J$11),1,0))</f>
        <v>0</v>
      </c>
      <c r="O208" s="107">
        <f>IF(OR($F$21='Auto Responses'!$J$4,$E208='Auto Responses'!$L$13,$F208='Auto Responses'!$J$5),'Auto Responses'!$J$5,IF($J208="",$K208,IF($J208='Auto Responses'!$J$13,5,IF($J208='Auto Responses'!$J$12,10,IF($J208='Auto Responses'!$J$11,20,0)))))</f>
        <v>10</v>
      </c>
      <c r="P208" s="107">
        <f>IF(OR($O208='Auto Responses'!$J$5,$L208='Auto Responses'!$J$5),'Auto Responses'!$J$5,$O208*$L208)</f>
        <v>0</v>
      </c>
      <c r="Q208" s="107">
        <f t="shared" si="21"/>
        <v>0</v>
      </c>
      <c r="R208" s="107">
        <f t="shared" si="26"/>
        <v>0</v>
      </c>
      <c r="S208" s="107">
        <f t="shared" si="22"/>
        <v>0</v>
      </c>
      <c r="T208" s="107">
        <f t="shared" si="23"/>
        <v>0</v>
      </c>
      <c r="U208" s="107">
        <f t="shared" si="27"/>
        <v>59</v>
      </c>
      <c r="V208" s="107">
        <f t="shared" si="24"/>
        <v>0</v>
      </c>
    </row>
    <row r="209" spans="1:22" ht="57" x14ac:dyDescent="0.2">
      <c r="A209" s="4" t="str">
        <f>Questions!$A209</f>
        <v>HIPA-23</v>
      </c>
      <c r="B209" s="4" t="str">
        <f t="shared" si="25"/>
        <v>HIPA</v>
      </c>
      <c r="C209" s="4" t="str">
        <f>VLOOKUP($A209,Questions!$A$3:$L$333,2,0)&amp;""</f>
        <v>Do you retain logs for at least as long as required by HIPAA regulations?</v>
      </c>
      <c r="D209" s="4" t="str">
        <f>VLOOKUP($A209,Questions!$A$3:$L$333,11,0)&amp;""</f>
        <v/>
      </c>
      <c r="E209" s="4" t="str">
        <f>VLOOKUP($A209,Questions!$A$3:$L$333,12,0)&amp;""</f>
        <v>Case-specific</v>
      </c>
      <c r="F209" s="4" t="str">
        <f>VLOOKUP($A209,'Institution Evaluation'!$A$56:$K$345,3,0)&amp;""</f>
        <v/>
      </c>
      <c r="G209" s="4" t="str">
        <f>VLOOKUP($A209,'Institution Evaluation'!$A$56:$K$345,7,0)&amp;""</f>
        <v>Yes</v>
      </c>
      <c r="H209" s="4" t="str">
        <f>VLOOKUP($A209,'Institution Evaluation'!$A$56:$K$345,8,0)&amp;""</f>
        <v/>
      </c>
      <c r="I209" s="4" t="str">
        <f>VLOOKUP($A209,'Institution Evaluation'!$A$56:$K$345,9,0)&amp;""</f>
        <v>Standard Importance</v>
      </c>
      <c r="J209" s="4" t="str">
        <f>VLOOKUP($A209,'Institution Evaluation'!$A$56:$K$345,10,0)&amp;""</f>
        <v/>
      </c>
      <c r="K209" s="4">
        <f>IF($I209='Auto Responses'!$J$11,20,IF($I209='Auto Responses'!$J$13,5,10))</f>
        <v>10</v>
      </c>
      <c r="L209" s="107">
        <f>IF($E209='Auto Responses'!$L$13, 'Auto Responses'!$J$5,IF(AND($D209='Auto Responses'!$J$27,$H209=""),'Auto Responses'!$J$5,IF(AND($D209='Auto Responses'!$J$27,$H209='Auto Responses'!$J$7),1,IF(AND($D209='Auto Responses'!$J$27,$H209='Auto Responses'!$J$8),0,IF(OR(AND($F209=$G209,$H209=""),$H209='Auto Responses'!$J$7),1,0)))))</f>
        <v>0</v>
      </c>
      <c r="M209" s="4" t="str">
        <f>VLOOKUP($A209,'Institution Evaluation'!$A$56:$K$345,11,0)&amp;""</f>
        <v>FALSE</v>
      </c>
      <c r="N209" s="4">
        <f>IF($J209='Auto Responses'!$J$11,1,IF(AND($J209="",$I209='Auto Responses'!$J$11),1,0))</f>
        <v>0</v>
      </c>
      <c r="O209" s="107">
        <f>IF(OR($F$21='Auto Responses'!$J$4,$E209='Auto Responses'!$L$13,$F209='Auto Responses'!$J$5),'Auto Responses'!$J$5,IF($J209="",$K209,IF($J209='Auto Responses'!$J$13,5,IF($J209='Auto Responses'!$J$12,10,IF($J209='Auto Responses'!$J$11,20,0)))))</f>
        <v>10</v>
      </c>
      <c r="P209" s="107">
        <f>IF(OR($O209='Auto Responses'!$J$5,$L209='Auto Responses'!$J$5),'Auto Responses'!$J$5,$O209*$L209)</f>
        <v>0</v>
      </c>
      <c r="Q209" s="107">
        <f t="shared" si="21"/>
        <v>0</v>
      </c>
      <c r="R209" s="107">
        <f t="shared" si="26"/>
        <v>0</v>
      </c>
      <c r="S209" s="107">
        <f t="shared" si="22"/>
        <v>0</v>
      </c>
      <c r="T209" s="107">
        <f t="shared" si="23"/>
        <v>0</v>
      </c>
      <c r="U209" s="107">
        <f t="shared" si="27"/>
        <v>59</v>
      </c>
      <c r="V209" s="107">
        <f t="shared" si="24"/>
        <v>0</v>
      </c>
    </row>
    <row r="210" spans="1:22" ht="57" x14ac:dyDescent="0.2">
      <c r="A210" s="4" t="str">
        <f>Questions!$A210</f>
        <v>HIPA-24</v>
      </c>
      <c r="B210" s="4" t="str">
        <f t="shared" si="25"/>
        <v>HIPA</v>
      </c>
      <c r="C210" s="4" t="str">
        <f>VLOOKUP($A210,Questions!$A$3:$L$333,2,0)&amp;""</f>
        <v>Can the application logs be archived?</v>
      </c>
      <c r="D210" s="4" t="str">
        <f>VLOOKUP($A210,Questions!$A$3:$L$333,11,0)&amp;""</f>
        <v/>
      </c>
      <c r="E210" s="4" t="str">
        <f>VLOOKUP($A210,Questions!$A$3:$L$333,12,0)&amp;""</f>
        <v>Case-specific</v>
      </c>
      <c r="F210" s="4" t="str">
        <f>VLOOKUP($A210,'Institution Evaluation'!$A$56:$K$345,3,0)&amp;""</f>
        <v/>
      </c>
      <c r="G210" s="4" t="str">
        <f>VLOOKUP($A210,'Institution Evaluation'!$A$56:$K$345,7,0)&amp;""</f>
        <v>Yes</v>
      </c>
      <c r="H210" s="4" t="str">
        <f>VLOOKUP($A210,'Institution Evaluation'!$A$56:$K$345,8,0)&amp;""</f>
        <v/>
      </c>
      <c r="I210" s="4" t="str">
        <f>VLOOKUP($A210,'Institution Evaluation'!$A$56:$K$345,9,0)&amp;""</f>
        <v>Standard Importance</v>
      </c>
      <c r="J210" s="4" t="str">
        <f>VLOOKUP($A210,'Institution Evaluation'!$A$56:$K$345,10,0)&amp;""</f>
        <v/>
      </c>
      <c r="K210" s="4">
        <f>IF($I210='Auto Responses'!$J$11,20,IF($I210='Auto Responses'!$J$13,5,10))</f>
        <v>10</v>
      </c>
      <c r="L210" s="107">
        <f>IF($E210='Auto Responses'!$L$13, 'Auto Responses'!$J$5,IF(AND($D210='Auto Responses'!$J$27,$H210=""),'Auto Responses'!$J$5,IF(AND($D210='Auto Responses'!$J$27,$H210='Auto Responses'!$J$7),1,IF(AND($D210='Auto Responses'!$J$27,$H210='Auto Responses'!$J$8),0,IF(OR(AND($F210=$G210,$H210=""),$H210='Auto Responses'!$J$7),1,0)))))</f>
        <v>0</v>
      </c>
      <c r="M210" s="4" t="str">
        <f>VLOOKUP($A210,'Institution Evaluation'!$A$56:$K$345,11,0)&amp;""</f>
        <v>FALSE</v>
      </c>
      <c r="N210" s="4">
        <f>IF($J210='Auto Responses'!$J$11,1,IF(AND($J210="",$I210='Auto Responses'!$J$11),1,0))</f>
        <v>0</v>
      </c>
      <c r="O210" s="107">
        <f>IF(OR($F$21='Auto Responses'!$J$4,$E210='Auto Responses'!$L$13,$F210='Auto Responses'!$J$5),'Auto Responses'!$J$5,IF($J210="",$K210,IF($J210='Auto Responses'!$J$13,5,IF($J210='Auto Responses'!$J$12,10,IF($J210='Auto Responses'!$J$11,20,0)))))</f>
        <v>10</v>
      </c>
      <c r="P210" s="107">
        <f>IF(OR($O210='Auto Responses'!$J$5,$L210='Auto Responses'!$J$5),'Auto Responses'!$J$5,$O210*$L210)</f>
        <v>0</v>
      </c>
      <c r="Q210" s="107">
        <f t="shared" si="21"/>
        <v>0</v>
      </c>
      <c r="R210" s="107">
        <f t="shared" si="26"/>
        <v>0</v>
      </c>
      <c r="S210" s="107">
        <f t="shared" si="22"/>
        <v>0</v>
      </c>
      <c r="T210" s="107">
        <f t="shared" si="23"/>
        <v>0</v>
      </c>
      <c r="U210" s="107">
        <f t="shared" si="27"/>
        <v>59</v>
      </c>
      <c r="V210" s="107">
        <f t="shared" si="24"/>
        <v>0</v>
      </c>
    </row>
    <row r="211" spans="1:22" ht="57" x14ac:dyDescent="0.2">
      <c r="A211" s="4" t="str">
        <f>Questions!$A211</f>
        <v>HIPA-25</v>
      </c>
      <c r="B211" s="4" t="str">
        <f t="shared" si="25"/>
        <v>HIPA</v>
      </c>
      <c r="C211" s="4" t="str">
        <f>VLOOKUP($A211,Questions!$A$3:$L$333,2,0)&amp;""</f>
        <v>Can the application logs be saved externally?</v>
      </c>
      <c r="D211" s="4" t="str">
        <f>VLOOKUP($A211,Questions!$A$3:$L$333,11,0)&amp;""</f>
        <v/>
      </c>
      <c r="E211" s="4" t="str">
        <f>VLOOKUP($A211,Questions!$A$3:$L$333,12,0)&amp;""</f>
        <v>Case-specific</v>
      </c>
      <c r="F211" s="4" t="str">
        <f>VLOOKUP($A211,'Institution Evaluation'!$A$56:$K$345,3,0)&amp;""</f>
        <v/>
      </c>
      <c r="G211" s="4" t="str">
        <f>VLOOKUP($A211,'Institution Evaluation'!$A$56:$K$345,7,0)&amp;""</f>
        <v>Yes</v>
      </c>
      <c r="H211" s="4" t="str">
        <f>VLOOKUP($A211,'Institution Evaluation'!$A$56:$K$345,8,0)&amp;""</f>
        <v/>
      </c>
      <c r="I211" s="4" t="str">
        <f>VLOOKUP($A211,'Institution Evaluation'!$A$56:$K$345,9,0)&amp;""</f>
        <v>Standard Importance</v>
      </c>
      <c r="J211" s="4" t="str">
        <f>VLOOKUP($A211,'Institution Evaluation'!$A$56:$K$345,10,0)&amp;""</f>
        <v/>
      </c>
      <c r="K211" s="4">
        <f>IF($I211='Auto Responses'!$J$11,20,IF($I211='Auto Responses'!$J$13,5,10))</f>
        <v>10</v>
      </c>
      <c r="L211" s="107">
        <f>IF($E211='Auto Responses'!$L$13, 'Auto Responses'!$J$5,IF(AND($D211='Auto Responses'!$J$27,$H211=""),'Auto Responses'!$J$5,IF(AND($D211='Auto Responses'!$J$27,$H211='Auto Responses'!$J$7),1,IF(AND($D211='Auto Responses'!$J$27,$H211='Auto Responses'!$J$8),0,IF(OR(AND($F211=$G211,$H211=""),$H211='Auto Responses'!$J$7),1,0)))))</f>
        <v>0</v>
      </c>
      <c r="M211" s="4" t="str">
        <f>VLOOKUP($A211,'Institution Evaluation'!$A$56:$K$345,11,0)&amp;""</f>
        <v>FALSE</v>
      </c>
      <c r="N211" s="4">
        <f>IF($J211='Auto Responses'!$J$11,1,IF(AND($J211="",$I211='Auto Responses'!$J$11),1,0))</f>
        <v>0</v>
      </c>
      <c r="O211" s="107">
        <f>IF(OR($F$21='Auto Responses'!$J$4,$E211='Auto Responses'!$L$13,$F211='Auto Responses'!$J$5),'Auto Responses'!$J$5,IF($J211="",$K211,IF($J211='Auto Responses'!$J$13,5,IF($J211='Auto Responses'!$J$12,10,IF($J211='Auto Responses'!$J$11,20,0)))))</f>
        <v>10</v>
      </c>
      <c r="P211" s="107">
        <f>IF(OR($O211='Auto Responses'!$J$5,$L211='Auto Responses'!$J$5),'Auto Responses'!$J$5,$O211*$L211)</f>
        <v>0</v>
      </c>
      <c r="Q211" s="107">
        <f t="shared" si="21"/>
        <v>0</v>
      </c>
      <c r="R211" s="107">
        <f t="shared" si="26"/>
        <v>0</v>
      </c>
      <c r="S211" s="107">
        <f t="shared" si="22"/>
        <v>0</v>
      </c>
      <c r="T211" s="107">
        <f t="shared" si="23"/>
        <v>0</v>
      </c>
      <c r="U211" s="107">
        <f t="shared" si="27"/>
        <v>59</v>
      </c>
      <c r="V211" s="107">
        <f t="shared" si="24"/>
        <v>0</v>
      </c>
    </row>
    <row r="212" spans="1:22" ht="57" x14ac:dyDescent="0.2">
      <c r="A212" s="4" t="str">
        <f>Questions!$A212</f>
        <v>HIPA-26</v>
      </c>
      <c r="B212" s="4" t="str">
        <f t="shared" si="25"/>
        <v>HIPA</v>
      </c>
      <c r="C212" s="4" t="str">
        <f>VLOOKUP($A212,Questions!$A$3:$L$333,2,0)&amp;""</f>
        <v>Do you have a disaster recovery plan and emergency mode operation plan?</v>
      </c>
      <c r="D212" s="4" t="str">
        <f>VLOOKUP($A212,Questions!$A$3:$L$333,11,0)&amp;""</f>
        <v/>
      </c>
      <c r="E212" s="4" t="str">
        <f>VLOOKUP($A212,Questions!$A$3:$L$333,12,0)&amp;""</f>
        <v>Case-specific</v>
      </c>
      <c r="F212" s="4" t="str">
        <f>VLOOKUP($A212,'Institution Evaluation'!$A$56:$K$345,3,0)&amp;""</f>
        <v/>
      </c>
      <c r="G212" s="4" t="str">
        <f>VLOOKUP($A212,'Institution Evaluation'!$A$56:$K$345,7,0)&amp;""</f>
        <v>Yes</v>
      </c>
      <c r="H212" s="4" t="str">
        <f>VLOOKUP($A212,'Institution Evaluation'!$A$56:$K$345,8,0)&amp;""</f>
        <v/>
      </c>
      <c r="I212" s="4" t="str">
        <f>VLOOKUP($A212,'Institution Evaluation'!$A$56:$K$345,9,0)&amp;""</f>
        <v>Standard Importance</v>
      </c>
      <c r="J212" s="4" t="str">
        <f>VLOOKUP($A212,'Institution Evaluation'!$A$56:$K$345,10,0)&amp;""</f>
        <v/>
      </c>
      <c r="K212" s="4">
        <f>IF($I212='Auto Responses'!$J$11,20,IF($I212='Auto Responses'!$J$13,5,10))</f>
        <v>10</v>
      </c>
      <c r="L212" s="107">
        <f>IF($E212='Auto Responses'!$L$13, 'Auto Responses'!$J$5,IF(AND($D212='Auto Responses'!$J$27,$H212=""),'Auto Responses'!$J$5,IF(AND($D212='Auto Responses'!$J$27,$H212='Auto Responses'!$J$7),1,IF(AND($D212='Auto Responses'!$J$27,$H212='Auto Responses'!$J$8),0,IF(OR(AND($F212=$G212,$H212=""),$H212='Auto Responses'!$J$7),1,0)))))</f>
        <v>0</v>
      </c>
      <c r="M212" s="4" t="str">
        <f>VLOOKUP($A212,'Institution Evaluation'!$A$56:$K$345,11,0)&amp;""</f>
        <v>FALSE</v>
      </c>
      <c r="N212" s="4">
        <f>IF($J212='Auto Responses'!$J$11,1,IF(AND($J212="",$I212='Auto Responses'!$J$11),1,0))</f>
        <v>0</v>
      </c>
      <c r="O212" s="107">
        <f>IF(OR($F$21='Auto Responses'!$J$4,$E212='Auto Responses'!$L$13,$F212='Auto Responses'!$J$5),'Auto Responses'!$J$5,IF($J212="",$K212,IF($J212='Auto Responses'!$J$13,5,IF($J212='Auto Responses'!$J$12,10,IF($J212='Auto Responses'!$J$11,20,0)))))</f>
        <v>10</v>
      </c>
      <c r="P212" s="107">
        <f>IF(OR($O212='Auto Responses'!$J$5,$L212='Auto Responses'!$J$5),'Auto Responses'!$J$5,$O212*$L212)</f>
        <v>0</v>
      </c>
      <c r="Q212" s="107">
        <f t="shared" si="21"/>
        <v>0</v>
      </c>
      <c r="R212" s="107">
        <f t="shared" si="26"/>
        <v>0</v>
      </c>
      <c r="S212" s="107">
        <f t="shared" si="22"/>
        <v>0</v>
      </c>
      <c r="T212" s="107">
        <f t="shared" si="23"/>
        <v>0</v>
      </c>
      <c r="U212" s="107">
        <f t="shared" si="27"/>
        <v>59</v>
      </c>
      <c r="V212" s="107">
        <f t="shared" si="24"/>
        <v>0</v>
      </c>
    </row>
    <row r="213" spans="1:22" ht="57" x14ac:dyDescent="0.2">
      <c r="A213" s="4" t="str">
        <f>Questions!$A213</f>
        <v>HIPA-27</v>
      </c>
      <c r="B213" s="4" t="str">
        <f t="shared" si="25"/>
        <v>HIPA</v>
      </c>
      <c r="C213" s="4" t="str">
        <f>VLOOKUP($A213,Questions!$A$3:$L$333,2,0)&amp;""</f>
        <v>Can you provide a HIPAA compliance attestation document?</v>
      </c>
      <c r="D213" s="4" t="str">
        <f>VLOOKUP($A213,Questions!$A$3:$L$333,11,0)&amp;""</f>
        <v/>
      </c>
      <c r="E213" s="4" t="str">
        <f>VLOOKUP($A213,Questions!$A$3:$L$333,12,0)&amp;""</f>
        <v>Case-specific</v>
      </c>
      <c r="F213" s="4" t="str">
        <f>VLOOKUP($A213,'Institution Evaluation'!$A$56:$K$345,3,0)&amp;""</f>
        <v/>
      </c>
      <c r="G213" s="4" t="str">
        <f>VLOOKUP($A213,'Institution Evaluation'!$A$56:$K$345,7,0)&amp;""</f>
        <v>Yes</v>
      </c>
      <c r="H213" s="4" t="str">
        <f>VLOOKUP($A213,'Institution Evaluation'!$A$56:$K$345,8,0)&amp;""</f>
        <v/>
      </c>
      <c r="I213" s="4" t="str">
        <f>VLOOKUP($A213,'Institution Evaluation'!$A$56:$K$345,9,0)&amp;""</f>
        <v>Standard Importance</v>
      </c>
      <c r="J213" s="4" t="str">
        <f>VLOOKUP($A213,'Institution Evaluation'!$A$56:$K$345,10,0)&amp;""</f>
        <v/>
      </c>
      <c r="K213" s="4">
        <f>IF($I213='Auto Responses'!$J$11,20,IF($I213='Auto Responses'!$J$13,5,10))</f>
        <v>10</v>
      </c>
      <c r="L213" s="107">
        <f>IF($E213='Auto Responses'!$L$13, 'Auto Responses'!$J$5,IF(AND($D213='Auto Responses'!$J$27,$H213=""),'Auto Responses'!$J$5,IF(AND($D213='Auto Responses'!$J$27,$H213='Auto Responses'!$J$7),1,IF(AND($D213='Auto Responses'!$J$27,$H213='Auto Responses'!$J$8),0,IF(OR(AND($F213=$G213,$H213=""),$H213='Auto Responses'!$J$7),1,0)))))</f>
        <v>0</v>
      </c>
      <c r="M213" s="4" t="str">
        <f>VLOOKUP($A213,'Institution Evaluation'!$A$56:$K$345,11,0)&amp;""</f>
        <v>FALSE</v>
      </c>
      <c r="N213" s="4">
        <f>IF($J213='Auto Responses'!$J$11,1,IF(AND($J213="",$I213='Auto Responses'!$J$11),1,0))</f>
        <v>0</v>
      </c>
      <c r="O213" s="107">
        <f>IF(OR($F$21='Auto Responses'!$J$4,$E213='Auto Responses'!$L$13,$F213='Auto Responses'!$J$5),'Auto Responses'!$J$5,IF($J213="",$K213,IF($J213='Auto Responses'!$J$13,5,IF($J213='Auto Responses'!$J$12,10,IF($J213='Auto Responses'!$J$11,20,0)))))</f>
        <v>10</v>
      </c>
      <c r="P213" s="107">
        <f>IF(OR($O213='Auto Responses'!$J$5,$L213='Auto Responses'!$J$5),'Auto Responses'!$J$5,$O213*$L213)</f>
        <v>0</v>
      </c>
      <c r="Q213" s="107">
        <f t="shared" si="21"/>
        <v>0</v>
      </c>
      <c r="R213" s="107">
        <f t="shared" si="26"/>
        <v>0</v>
      </c>
      <c r="S213" s="107">
        <f t="shared" si="22"/>
        <v>0</v>
      </c>
      <c r="T213" s="107">
        <f t="shared" si="23"/>
        <v>0</v>
      </c>
      <c r="U213" s="107">
        <f t="shared" si="27"/>
        <v>59</v>
      </c>
      <c r="V213" s="107">
        <f t="shared" si="24"/>
        <v>0</v>
      </c>
    </row>
    <row r="214" spans="1:22" ht="57" x14ac:dyDescent="0.2">
      <c r="A214" s="4" t="str">
        <f>Questions!$A214</f>
        <v>HIPA-28</v>
      </c>
      <c r="B214" s="4" t="str">
        <f t="shared" si="25"/>
        <v>HIPA</v>
      </c>
      <c r="C214" s="4" t="str">
        <f>VLOOKUP($A214,Questions!$A$3:$L$333,2,0)&amp;""</f>
        <v>Are you willing to enter into a Business Associate Agreement (BAA)?</v>
      </c>
      <c r="D214" s="4" t="str">
        <f>VLOOKUP($A214,Questions!$A$3:$L$333,11,0)&amp;""</f>
        <v/>
      </c>
      <c r="E214" s="4" t="str">
        <f>VLOOKUP($A214,Questions!$A$3:$L$333,12,0)&amp;""</f>
        <v>Case-specific</v>
      </c>
      <c r="F214" s="4" t="str">
        <f>VLOOKUP($A214,'Institution Evaluation'!$A$56:$K$345,3,0)&amp;""</f>
        <v/>
      </c>
      <c r="G214" s="4" t="str">
        <f>VLOOKUP($A214,'Institution Evaluation'!$A$56:$K$345,7,0)&amp;""</f>
        <v>Yes</v>
      </c>
      <c r="H214" s="4" t="str">
        <f>VLOOKUP($A214,'Institution Evaluation'!$A$56:$K$345,8,0)&amp;""</f>
        <v/>
      </c>
      <c r="I214" s="4" t="str">
        <f>VLOOKUP($A214,'Institution Evaluation'!$A$56:$K$345,9,0)&amp;""</f>
        <v>Standard Importance</v>
      </c>
      <c r="J214" s="4" t="str">
        <f>VLOOKUP($A214,'Institution Evaluation'!$A$56:$K$345,10,0)&amp;""</f>
        <v/>
      </c>
      <c r="K214" s="4">
        <f>IF($I214='Auto Responses'!$J$11,20,IF($I214='Auto Responses'!$J$13,5,10))</f>
        <v>10</v>
      </c>
      <c r="L214" s="107">
        <f>IF($E214='Auto Responses'!$L$13, 'Auto Responses'!$J$5,IF(AND($D214='Auto Responses'!$J$27,$H214=""),'Auto Responses'!$J$5,IF(AND($D214='Auto Responses'!$J$27,$H214='Auto Responses'!$J$7),1,IF(AND($D214='Auto Responses'!$J$27,$H214='Auto Responses'!$J$8),0,IF(OR(AND($F214=$G214,$H214=""),$H214='Auto Responses'!$J$7),1,0)))))</f>
        <v>0</v>
      </c>
      <c r="M214" s="4" t="str">
        <f>VLOOKUP($A214,'Institution Evaluation'!$A$56:$K$345,11,0)&amp;""</f>
        <v>FALSE</v>
      </c>
      <c r="N214" s="4">
        <f>IF($J214='Auto Responses'!$J$11,1,IF(AND($J214="",$I214='Auto Responses'!$J$11),1,0))</f>
        <v>0</v>
      </c>
      <c r="O214" s="107">
        <f>IF(OR($F$21='Auto Responses'!$J$4,$E214='Auto Responses'!$L$13,$F214='Auto Responses'!$J$5),'Auto Responses'!$J$5,IF($J214="",$K214,IF($J214='Auto Responses'!$J$13,5,IF($J214='Auto Responses'!$J$12,10,IF($J214='Auto Responses'!$J$11,20,0)))))</f>
        <v>10</v>
      </c>
      <c r="P214" s="107">
        <f>IF(OR($O214='Auto Responses'!$J$5,$L214='Auto Responses'!$J$5),'Auto Responses'!$J$5,$O214*$L214)</f>
        <v>0</v>
      </c>
      <c r="Q214" s="107">
        <f t="shared" si="21"/>
        <v>0</v>
      </c>
      <c r="R214" s="107">
        <f t="shared" si="26"/>
        <v>0</v>
      </c>
      <c r="S214" s="107">
        <f t="shared" si="22"/>
        <v>0</v>
      </c>
      <c r="T214" s="107">
        <f t="shared" si="23"/>
        <v>0</v>
      </c>
      <c r="U214" s="107">
        <f t="shared" si="27"/>
        <v>59</v>
      </c>
      <c r="V214" s="107">
        <f t="shared" si="24"/>
        <v>0</v>
      </c>
    </row>
    <row r="215" spans="1:22" ht="57" x14ac:dyDescent="0.2">
      <c r="A215" s="4" t="str">
        <f>Questions!$A215</f>
        <v>HIPA-29</v>
      </c>
      <c r="B215" s="4" t="str">
        <f t="shared" si="25"/>
        <v>HIPA</v>
      </c>
      <c r="C215" s="4" t="str">
        <f>VLOOKUP($A215,Questions!$A$3:$L$333,2,0)&amp;""</f>
        <v>Do your data backup and retention policies and practices meet HIPAA requirements?</v>
      </c>
      <c r="D215" s="4" t="str">
        <f>VLOOKUP($A215,Questions!$A$3:$L$333,11,0)&amp;""</f>
        <v/>
      </c>
      <c r="E215" s="4" t="str">
        <f>VLOOKUP($A215,Questions!$A$3:$L$333,12,0)&amp;""</f>
        <v>Case-specific</v>
      </c>
      <c r="F215" s="4" t="str">
        <f>VLOOKUP($A215,'Institution Evaluation'!$A$56:$K$345,3,0)&amp;""</f>
        <v/>
      </c>
      <c r="G215" s="4" t="str">
        <f>VLOOKUP($A215,'Institution Evaluation'!$A$56:$K$345,7,0)&amp;""</f>
        <v>Yes</v>
      </c>
      <c r="H215" s="4" t="str">
        <f>VLOOKUP($A215,'Institution Evaluation'!$A$56:$K$345,8,0)&amp;""</f>
        <v/>
      </c>
      <c r="I215" s="4" t="str">
        <f>VLOOKUP($A215,'Institution Evaluation'!$A$56:$K$345,9,0)&amp;""</f>
        <v>Minor Importance</v>
      </c>
      <c r="J215" s="4" t="str">
        <f>VLOOKUP($A215,'Institution Evaluation'!$A$56:$K$345,10,0)&amp;""</f>
        <v/>
      </c>
      <c r="K215" s="4">
        <f>IF($I215='Auto Responses'!$J$11,20,IF($I215='Auto Responses'!$J$13,5,10))</f>
        <v>5</v>
      </c>
      <c r="L215" s="107">
        <f>IF($E215='Auto Responses'!$L$13, 'Auto Responses'!$J$5,IF(AND($D215='Auto Responses'!$J$27,$H215=""),'Auto Responses'!$J$5,IF(AND($D215='Auto Responses'!$J$27,$H215='Auto Responses'!$J$7),1,IF(AND($D215='Auto Responses'!$J$27,$H215='Auto Responses'!$J$8),0,IF(OR(AND($F215=$G215,$H215=""),$H215='Auto Responses'!$J$7),1,0)))))</f>
        <v>0</v>
      </c>
      <c r="M215" s="4" t="str">
        <f>VLOOKUP($A215,'Institution Evaluation'!$A$56:$K$345,11,0)&amp;""</f>
        <v>FALSE</v>
      </c>
      <c r="N215" s="4">
        <f>IF($J215='Auto Responses'!$J$11,1,IF(AND($J215="",$I215='Auto Responses'!$J$11),1,0))</f>
        <v>0</v>
      </c>
      <c r="O215" s="107">
        <f>IF(OR($F$21='Auto Responses'!$J$4,$E215='Auto Responses'!$L$13,$F215='Auto Responses'!$J$5),'Auto Responses'!$J$5,IF($J215="",$K215,IF($J215='Auto Responses'!$J$13,5,IF($J215='Auto Responses'!$J$12,10,IF($J215='Auto Responses'!$J$11,20,0)))))</f>
        <v>5</v>
      </c>
      <c r="P215" s="107">
        <f>IF(OR($O215='Auto Responses'!$J$5,$L215='Auto Responses'!$J$5),'Auto Responses'!$J$5,$O215*$L215)</f>
        <v>0</v>
      </c>
      <c r="Q215" s="107">
        <f t="shared" si="21"/>
        <v>0</v>
      </c>
      <c r="R215" s="107">
        <f t="shared" si="26"/>
        <v>0</v>
      </c>
      <c r="S215" s="107">
        <f t="shared" si="22"/>
        <v>0</v>
      </c>
      <c r="T215" s="107">
        <f t="shared" si="23"/>
        <v>0</v>
      </c>
      <c r="U215" s="107">
        <f t="shared" si="27"/>
        <v>59</v>
      </c>
      <c r="V215" s="107">
        <f t="shared" si="24"/>
        <v>0</v>
      </c>
    </row>
    <row r="216" spans="1:22" ht="57" x14ac:dyDescent="0.2">
      <c r="A216" s="4" t="str">
        <f>Questions!$A216</f>
        <v>PCID-01</v>
      </c>
      <c r="B216" s="4" t="str">
        <f t="shared" si="25"/>
        <v>PCID</v>
      </c>
      <c r="C216" s="4" t="str">
        <f>VLOOKUP($A216,Questions!$A$3:$L$333,2,0)&amp;""</f>
        <v>Do you have a current, executed within the past year, Attestation of Compliance (AoC) or Report on Compliance (RoC)?*</v>
      </c>
      <c r="D216" s="4" t="str">
        <f>VLOOKUP($A216,Questions!$A$3:$L$333,11,0)&amp;""</f>
        <v/>
      </c>
      <c r="E216" s="4" t="str">
        <f>VLOOKUP($A216,Questions!$A$3:$L$333,12,0)&amp;""</f>
        <v>Case-Specific</v>
      </c>
      <c r="F216" s="4" t="str">
        <f>VLOOKUP($A216,'Institution Evaluation'!$A$56:$K$345,3,0)&amp;""</f>
        <v/>
      </c>
      <c r="G216" s="4" t="str">
        <f>VLOOKUP($A216,'Institution Evaluation'!$A$56:$K$345,7,0)&amp;""</f>
        <v>Yes</v>
      </c>
      <c r="H216" s="4" t="str">
        <f>VLOOKUP($A216,'Institution Evaluation'!$A$56:$K$345,8,0)&amp;""</f>
        <v/>
      </c>
      <c r="I216" s="4" t="str">
        <f>VLOOKUP($A216,'Institution Evaluation'!$A$56:$K$345,9,0)&amp;""</f>
        <v>Critical Importance</v>
      </c>
      <c r="J216" s="4" t="str">
        <f>VLOOKUP($A216,'Institution Evaluation'!$A$56:$K$345,10,0)&amp;""</f>
        <v/>
      </c>
      <c r="K216" s="4">
        <f>IF($I216='Auto Responses'!$J$11,20,IF($I216='Auto Responses'!$J$13,5,10))</f>
        <v>20</v>
      </c>
      <c r="L216" s="107">
        <f>IF($E216='Auto Responses'!$L$13, 'Auto Responses'!$J$5,IF(AND($D216='Auto Responses'!$J$27,$H216=""),'Auto Responses'!$J$5,IF(AND($D216='Auto Responses'!$J$27,$H216='Auto Responses'!$J$7),1,IF(AND($D216='Auto Responses'!$J$27,$H216='Auto Responses'!$J$8),0,IF(OR(AND($F216=$G216,$H216=""),$H216='Auto Responses'!$J$7),1,0)))))</f>
        <v>0</v>
      </c>
      <c r="M216" s="4" t="str">
        <f>VLOOKUP($A216,'Institution Evaluation'!$A$56:$K$345,11,0)&amp;""</f>
        <v>FALSE</v>
      </c>
      <c r="N216" s="4">
        <f>IF($J216='Auto Responses'!$J$11,1,IF(AND($J216="",$I216='Auto Responses'!$J$11),1,0))</f>
        <v>1</v>
      </c>
      <c r="O216" s="107">
        <f>IF(OR($F$22='Auto Responses'!$J$4,$E216='Auto Responses'!$L$13,$F216='Auto Responses'!$J$5),'Auto Responses'!$J$5,IF($J216="",$K216,IF($J216='Auto Responses'!$J$13,5,IF($J216='Auto Responses'!$J$12,10,IF($J216='Auto Responses'!$J$11,20,0)))))</f>
        <v>20</v>
      </c>
      <c r="P216" s="107">
        <f>IF(OR($O216='Auto Responses'!$J$5,$L216='Auto Responses'!$J$5),'Auto Responses'!$J$5,$O216*$L216)</f>
        <v>0</v>
      </c>
      <c r="Q216" s="107">
        <f t="shared" si="21"/>
        <v>0</v>
      </c>
      <c r="R216" s="107">
        <f t="shared" si="26"/>
        <v>0</v>
      </c>
      <c r="S216" s="107">
        <f t="shared" si="22"/>
        <v>0</v>
      </c>
      <c r="T216" s="107">
        <f t="shared" si="23"/>
        <v>1</v>
      </c>
      <c r="U216" s="107">
        <f t="shared" si="27"/>
        <v>60</v>
      </c>
      <c r="V216" s="107">
        <f t="shared" si="24"/>
        <v>60</v>
      </c>
    </row>
    <row r="217" spans="1:22" ht="57" x14ac:dyDescent="0.2">
      <c r="A217" s="4" t="str">
        <f>Questions!$A217</f>
        <v>PCID-02</v>
      </c>
      <c r="B217" s="4" t="str">
        <f t="shared" si="25"/>
        <v>PCID</v>
      </c>
      <c r="C217" s="4" t="str">
        <f>VLOOKUP($A217,Questions!$A$3:$L$333,2,0)&amp;""</f>
        <v>Is the application listed as an approved Payment Application Data Security Standard (PA-DSS) application?*</v>
      </c>
      <c r="D217" s="4" t="str">
        <f>VLOOKUP($A217,Questions!$A$3:$L$333,11,0)&amp;""</f>
        <v/>
      </c>
      <c r="E217" s="4" t="str">
        <f>VLOOKUP($A217,Questions!$A$3:$L$333,12,0)&amp;""</f>
        <v>Case-Specific</v>
      </c>
      <c r="F217" s="4" t="str">
        <f>VLOOKUP($A217,'Institution Evaluation'!$A$56:$K$345,3,0)&amp;""</f>
        <v/>
      </c>
      <c r="G217" s="4" t="str">
        <f>VLOOKUP($A217,'Institution Evaluation'!$A$56:$K$345,7,0)&amp;""</f>
        <v>No</v>
      </c>
      <c r="H217" s="4" t="str">
        <f>VLOOKUP($A217,'Institution Evaluation'!$A$56:$K$345,8,0)&amp;""</f>
        <v/>
      </c>
      <c r="I217" s="4" t="str">
        <f>VLOOKUP($A217,'Institution Evaluation'!$A$56:$K$345,9,0)&amp;""</f>
        <v>Critical Importance</v>
      </c>
      <c r="J217" s="4" t="str">
        <f>VLOOKUP($A217,'Institution Evaluation'!$A$56:$K$345,10,0)&amp;""</f>
        <v/>
      </c>
      <c r="K217" s="4">
        <f>IF($I217='Auto Responses'!$J$11,20,IF($I217='Auto Responses'!$J$13,5,10))</f>
        <v>20</v>
      </c>
      <c r="L217" s="107">
        <f>IF($E217='Auto Responses'!$L$13, 'Auto Responses'!$J$5,IF(AND($D217='Auto Responses'!$J$27,$H217=""),'Auto Responses'!$J$5,IF(AND($D217='Auto Responses'!$J$27,$H217='Auto Responses'!$J$7),1,IF(AND($D217='Auto Responses'!$J$27,$H217='Auto Responses'!$J$8),0,IF(OR(AND($F217=$G217,$H217=""),$H217='Auto Responses'!$J$7),1,0)))))</f>
        <v>0</v>
      </c>
      <c r="M217" s="4" t="str">
        <f>VLOOKUP($A217,'Institution Evaluation'!$A$56:$K$345,11,0)&amp;""</f>
        <v>FALSE</v>
      </c>
      <c r="N217" s="4">
        <f>IF($J217='Auto Responses'!$J$11,1,IF(AND($J217="",$I217='Auto Responses'!$J$11),1,0))</f>
        <v>1</v>
      </c>
      <c r="O217" s="107">
        <f>IF(OR($F$22='Auto Responses'!$J$4,$E217='Auto Responses'!$L$13,$F217='Auto Responses'!$J$5),'Auto Responses'!$J$5,IF($J217="",$K217,IF($J217='Auto Responses'!$J$13,5,IF($J217='Auto Responses'!$J$12,10,IF($J217='Auto Responses'!$J$11,20,0)))))</f>
        <v>20</v>
      </c>
      <c r="P217" s="107">
        <f>IF(OR($O217='Auto Responses'!$J$5,$L217='Auto Responses'!$J$5),'Auto Responses'!$J$5,$O217*$L217)</f>
        <v>0</v>
      </c>
      <c r="Q217" s="107">
        <f t="shared" si="21"/>
        <v>0</v>
      </c>
      <c r="R217" s="107">
        <f t="shared" si="26"/>
        <v>0</v>
      </c>
      <c r="S217" s="107">
        <f t="shared" si="22"/>
        <v>0</v>
      </c>
      <c r="T217" s="107">
        <f t="shared" si="23"/>
        <v>1</v>
      </c>
      <c r="U217" s="107">
        <f t="shared" si="27"/>
        <v>61</v>
      </c>
      <c r="V217" s="107">
        <f t="shared" si="24"/>
        <v>61</v>
      </c>
    </row>
    <row r="218" spans="1:22" ht="57" x14ac:dyDescent="0.2">
      <c r="A218" s="4" t="str">
        <f>Questions!$A218</f>
        <v>PCID-03</v>
      </c>
      <c r="B218" s="4" t="str">
        <f t="shared" si="25"/>
        <v>PCID</v>
      </c>
      <c r="C218" s="4" t="str">
        <f>VLOOKUP($A218,Questions!$A$3:$L$333,2,0)&amp;""</f>
        <v>Does the system or solutions use a third party to collect, store, process, or transmit cardholder (payment/credit/debt card) data?*</v>
      </c>
      <c r="D218" s="4" t="str">
        <f>VLOOKUP($A218,Questions!$A$3:$L$333,11,0)&amp;""</f>
        <v/>
      </c>
      <c r="E218" s="4" t="str">
        <f>VLOOKUP($A218,Questions!$A$3:$L$333,12,0)&amp;""</f>
        <v>Case-Specific</v>
      </c>
      <c r="F218" s="4" t="str">
        <f>VLOOKUP($A218,'Institution Evaluation'!$A$56:$K$345,3,0)&amp;""</f>
        <v/>
      </c>
      <c r="G218" s="4" t="str">
        <f>VLOOKUP($A218,'Institution Evaluation'!$A$56:$K$345,7,0)&amp;""</f>
        <v>No</v>
      </c>
      <c r="H218" s="4" t="str">
        <f>VLOOKUP($A218,'Institution Evaluation'!$A$56:$K$345,8,0)&amp;""</f>
        <v/>
      </c>
      <c r="I218" s="4" t="str">
        <f>VLOOKUP($A218,'Institution Evaluation'!$A$56:$K$345,9,0)&amp;""</f>
        <v>Critical Importance</v>
      </c>
      <c r="J218" s="4" t="str">
        <f>VLOOKUP($A218,'Institution Evaluation'!$A$56:$K$345,10,0)&amp;""</f>
        <v/>
      </c>
      <c r="K218" s="4">
        <f>IF($I218='Auto Responses'!$J$11,20,IF($I218='Auto Responses'!$J$13,5,10))</f>
        <v>20</v>
      </c>
      <c r="L218" s="107">
        <f>IF($E218='Auto Responses'!$L$13, 'Auto Responses'!$J$5,IF(AND($D218='Auto Responses'!$J$27,$H218=""),'Auto Responses'!$J$5,IF(AND($D218='Auto Responses'!$J$27,$H218='Auto Responses'!$J$7),1,IF(AND($D218='Auto Responses'!$J$27,$H218='Auto Responses'!$J$8),0,IF(OR(AND($F218=$G218,$H218=""),$H218='Auto Responses'!$J$7),1,0)))))</f>
        <v>0</v>
      </c>
      <c r="M218" s="4" t="str">
        <f>VLOOKUP($A218,'Institution Evaluation'!$A$56:$K$345,11,0)&amp;""</f>
        <v>FALSE</v>
      </c>
      <c r="N218" s="4">
        <f>IF($J218='Auto Responses'!$J$11,1,IF(AND($J218="",$I218='Auto Responses'!$J$11),1,0))</f>
        <v>1</v>
      </c>
      <c r="O218" s="107">
        <f>IF(OR($F$22='Auto Responses'!$J$4,$E218='Auto Responses'!$L$13,$F218='Auto Responses'!$J$5),'Auto Responses'!$J$5,IF($J218="",$K218,IF($J218='Auto Responses'!$J$13,5,IF($J218='Auto Responses'!$J$12,10,IF($J218='Auto Responses'!$J$11,20,0)))))</f>
        <v>20</v>
      </c>
      <c r="P218" s="107">
        <f>IF(OR($O218='Auto Responses'!$J$5,$L218='Auto Responses'!$J$5),'Auto Responses'!$J$5,$O218*$L218)</f>
        <v>0</v>
      </c>
      <c r="Q218" s="107">
        <f t="shared" si="21"/>
        <v>0</v>
      </c>
      <c r="R218" s="107">
        <f t="shared" si="26"/>
        <v>0</v>
      </c>
      <c r="S218" s="107">
        <f t="shared" si="22"/>
        <v>0</v>
      </c>
      <c r="T218" s="107">
        <f t="shared" si="23"/>
        <v>1</v>
      </c>
      <c r="U218" s="107">
        <f t="shared" si="27"/>
        <v>62</v>
      </c>
      <c r="V218" s="107">
        <f t="shared" si="24"/>
        <v>62</v>
      </c>
    </row>
    <row r="219" spans="1:22" ht="57" x14ac:dyDescent="0.2">
      <c r="A219" s="4" t="str">
        <f>Questions!$A219</f>
        <v>PCID-04</v>
      </c>
      <c r="B219" s="4" t="str">
        <f t="shared" si="25"/>
        <v>PCID</v>
      </c>
      <c r="C219" s="4" t="str">
        <f>VLOOKUP($A219,Questions!$A$3:$L$333,2,0)&amp;""</f>
        <v>Do your systems or solutions store, process, or transmit cardholder (payment/credit/debt card) data?</v>
      </c>
      <c r="D219" s="4" t="str">
        <f>VLOOKUP($A219,Questions!$A$3:$L$333,11,0)&amp;""</f>
        <v/>
      </c>
      <c r="E219" s="4" t="str">
        <f>VLOOKUP($A219,Questions!$A$3:$L$333,12,0)&amp;""</f>
        <v>Case-Specific</v>
      </c>
      <c r="F219" s="4" t="str">
        <f>VLOOKUP($A219,'Institution Evaluation'!$A$56:$K$345,3,0)&amp;""</f>
        <v/>
      </c>
      <c r="G219" s="4" t="str">
        <f>VLOOKUP($A219,'Institution Evaluation'!$A$56:$K$345,7,0)&amp;""</f>
        <v>Yes</v>
      </c>
      <c r="H219" s="4" t="str">
        <f>VLOOKUP($A219,'Institution Evaluation'!$A$56:$K$345,8,0)&amp;""</f>
        <v/>
      </c>
      <c r="I219" s="4" t="str">
        <f>VLOOKUP($A219,'Institution Evaluation'!$A$56:$K$345,9,0)&amp;""</f>
        <v>Standard Importance</v>
      </c>
      <c r="J219" s="4" t="str">
        <f>VLOOKUP($A219,'Institution Evaluation'!$A$56:$K$345,10,0)&amp;""</f>
        <v/>
      </c>
      <c r="K219" s="4">
        <f>IF($I219='Auto Responses'!$J$11,20,IF($I219='Auto Responses'!$J$13,5,10))</f>
        <v>10</v>
      </c>
      <c r="L219" s="107">
        <f>IF($E219='Auto Responses'!$L$13, 'Auto Responses'!$J$5,IF(AND($D219='Auto Responses'!$J$27,$H219=""),'Auto Responses'!$J$5,IF(AND($D219='Auto Responses'!$J$27,$H219='Auto Responses'!$J$7),1,IF(AND($D219='Auto Responses'!$J$27,$H219='Auto Responses'!$J$8),0,IF(OR(AND($F219=$G219,$H219=""),$H219='Auto Responses'!$J$7),1,0)))))</f>
        <v>0</v>
      </c>
      <c r="M219" s="4" t="str">
        <f>VLOOKUP($A219,'Institution Evaluation'!$A$56:$K$345,11,0)&amp;""</f>
        <v>FALSE</v>
      </c>
      <c r="N219" s="4">
        <f>IF($J219='Auto Responses'!$J$11,1,IF(AND($J219="",$I219='Auto Responses'!$J$11),1,0))</f>
        <v>0</v>
      </c>
      <c r="O219" s="107">
        <f>IF(OR($F$22='Auto Responses'!$J$4,$E219='Auto Responses'!$L$13,$F219='Auto Responses'!$J$5),'Auto Responses'!$J$5,IF($J219="",$K219,IF($J219='Auto Responses'!$J$13,5,IF($J219='Auto Responses'!$J$12,10,IF($J219='Auto Responses'!$J$11,20,0)))))</f>
        <v>10</v>
      </c>
      <c r="P219" s="107">
        <f>IF(OR($O219='Auto Responses'!$J$5,$L219='Auto Responses'!$J$5),'Auto Responses'!$J$5,$O219*$L219)</f>
        <v>0</v>
      </c>
      <c r="Q219" s="107">
        <f t="shared" si="21"/>
        <v>0</v>
      </c>
      <c r="R219" s="107">
        <f t="shared" si="26"/>
        <v>0</v>
      </c>
      <c r="S219" s="107">
        <f t="shared" si="22"/>
        <v>0</v>
      </c>
      <c r="T219" s="107">
        <f t="shared" si="23"/>
        <v>0</v>
      </c>
      <c r="U219" s="107">
        <f t="shared" si="27"/>
        <v>62</v>
      </c>
      <c r="V219" s="107">
        <f t="shared" si="24"/>
        <v>0</v>
      </c>
    </row>
    <row r="220" spans="1:22" ht="57" x14ac:dyDescent="0.2">
      <c r="A220" s="4" t="str">
        <f>Questions!$A220</f>
        <v>PCID-05</v>
      </c>
      <c r="B220" s="4" t="str">
        <f t="shared" si="25"/>
        <v>PCID</v>
      </c>
      <c r="C220" s="4" t="str">
        <f>VLOOKUP($A220,Questions!$A$3:$L$333,2,0)&amp;""</f>
        <v>Are you compliant with the Payment Card Industry Data Security Standard (PCI DSS)?</v>
      </c>
      <c r="D220" s="4" t="str">
        <f>VLOOKUP($A220,Questions!$A$3:$L$333,11,0)&amp;""</f>
        <v/>
      </c>
      <c r="E220" s="4" t="str">
        <f>VLOOKUP($A220,Questions!$A$3:$L$333,12,0)&amp;""</f>
        <v>Case-Specific</v>
      </c>
      <c r="F220" s="4" t="str">
        <f>VLOOKUP($A220,'Institution Evaluation'!$A$56:$K$345,3,0)&amp;""</f>
        <v/>
      </c>
      <c r="G220" s="4" t="str">
        <f>VLOOKUP($A220,'Institution Evaluation'!$A$56:$K$345,7,0)&amp;""</f>
        <v>Yes</v>
      </c>
      <c r="H220" s="4" t="str">
        <f>VLOOKUP($A220,'Institution Evaluation'!$A$56:$K$345,8,0)&amp;""</f>
        <v/>
      </c>
      <c r="I220" s="4" t="str">
        <f>VLOOKUP($A220,'Institution Evaluation'!$A$56:$K$345,9,0)&amp;""</f>
        <v>Standard Importance</v>
      </c>
      <c r="J220" s="4" t="str">
        <f>VLOOKUP($A220,'Institution Evaluation'!$A$56:$K$345,10,0)&amp;""</f>
        <v/>
      </c>
      <c r="K220" s="4">
        <f>IF($I220='Auto Responses'!$J$11,20,IF($I220='Auto Responses'!$J$13,5,10))</f>
        <v>10</v>
      </c>
      <c r="L220" s="107">
        <f>IF($E220='Auto Responses'!$L$13, 'Auto Responses'!$J$5,IF(AND($D220='Auto Responses'!$J$27,$H220=""),'Auto Responses'!$J$5,IF(AND($D220='Auto Responses'!$J$27,$H220='Auto Responses'!$J$7),1,IF(AND($D220='Auto Responses'!$J$27,$H220='Auto Responses'!$J$8),0,IF(OR(AND($F220=$G220,$H220=""),$H220='Auto Responses'!$J$7),1,0)))))</f>
        <v>0</v>
      </c>
      <c r="M220" s="4" t="str">
        <f>VLOOKUP($A220,'Institution Evaluation'!$A$56:$K$345,11,0)&amp;""</f>
        <v>FALSE</v>
      </c>
      <c r="N220" s="4">
        <f>IF($J220='Auto Responses'!$J$11,1,IF(AND($J220="",$I220='Auto Responses'!$J$11),1,0))</f>
        <v>0</v>
      </c>
      <c r="O220" s="107">
        <f>IF(OR($F$22='Auto Responses'!$J$4,$E220='Auto Responses'!$L$13,$F220='Auto Responses'!$J$5),'Auto Responses'!$J$5,IF($J220="",$K220,IF($J220='Auto Responses'!$J$13,5,IF($J220='Auto Responses'!$J$12,10,IF($J220='Auto Responses'!$J$11,20,0)))))</f>
        <v>10</v>
      </c>
      <c r="P220" s="107">
        <f>IF(OR($O220='Auto Responses'!$J$5,$L220='Auto Responses'!$J$5),'Auto Responses'!$J$5,$O220*$L220)</f>
        <v>0</v>
      </c>
      <c r="Q220" s="107">
        <f t="shared" si="21"/>
        <v>0</v>
      </c>
      <c r="R220" s="107">
        <f t="shared" si="26"/>
        <v>0</v>
      </c>
      <c r="S220" s="107">
        <f t="shared" si="22"/>
        <v>0</v>
      </c>
      <c r="T220" s="107">
        <f t="shared" si="23"/>
        <v>0</v>
      </c>
      <c r="U220" s="107">
        <f t="shared" si="27"/>
        <v>62</v>
      </c>
      <c r="V220" s="107">
        <f t="shared" si="24"/>
        <v>0</v>
      </c>
    </row>
    <row r="221" spans="1:22" ht="57" x14ac:dyDescent="0.2">
      <c r="A221" s="4" t="str">
        <f>Questions!$A221</f>
        <v>PCID-06</v>
      </c>
      <c r="B221" s="4" t="str">
        <f t="shared" si="25"/>
        <v>PCID</v>
      </c>
      <c r="C221" s="4" t="str">
        <f>VLOOKUP($A221,Questions!$A$3:$L$333,2,0)&amp;""</f>
        <v>Are you classified as a service provider?</v>
      </c>
      <c r="D221" s="4" t="str">
        <f>VLOOKUP($A221,Questions!$A$3:$L$333,11,0)&amp;""</f>
        <v/>
      </c>
      <c r="E221" s="4" t="str">
        <f>VLOOKUP($A221,Questions!$A$3:$L$333,12,0)&amp;""</f>
        <v>Case-Specific</v>
      </c>
      <c r="F221" s="4" t="str">
        <f>VLOOKUP($A221,'Institution Evaluation'!$A$56:$K$345,3,0)&amp;""</f>
        <v/>
      </c>
      <c r="G221" s="4" t="str">
        <f>VLOOKUP($A221,'Institution Evaluation'!$A$56:$K$345,7,0)&amp;""</f>
        <v>Yes</v>
      </c>
      <c r="H221" s="4" t="str">
        <f>VLOOKUP($A221,'Institution Evaluation'!$A$56:$K$345,8,0)&amp;""</f>
        <v/>
      </c>
      <c r="I221" s="4" t="str">
        <f>VLOOKUP($A221,'Institution Evaluation'!$A$56:$K$345,9,0)&amp;""</f>
        <v>Standard Importance</v>
      </c>
      <c r="J221" s="4" t="str">
        <f>VLOOKUP($A221,'Institution Evaluation'!$A$56:$K$345,10,0)&amp;""</f>
        <v/>
      </c>
      <c r="K221" s="4">
        <f>IF($I221='Auto Responses'!$J$11,20,IF($I221='Auto Responses'!$J$13,5,10))</f>
        <v>10</v>
      </c>
      <c r="L221" s="107">
        <f>IF($E221='Auto Responses'!$L$13, 'Auto Responses'!$J$5,IF(AND($D221='Auto Responses'!$J$27,$H221=""),'Auto Responses'!$J$5,IF(AND($D221='Auto Responses'!$J$27,$H221='Auto Responses'!$J$7),1,IF(AND($D221='Auto Responses'!$J$27,$H221='Auto Responses'!$J$8),0,IF(OR(AND($F221=$G221,$H221=""),$H221='Auto Responses'!$J$7),1,0)))))</f>
        <v>0</v>
      </c>
      <c r="M221" s="4" t="str">
        <f>VLOOKUP($A221,'Institution Evaluation'!$A$56:$K$345,11,0)&amp;""</f>
        <v>FALSE</v>
      </c>
      <c r="N221" s="4">
        <f>IF($J221='Auto Responses'!$J$11,1,IF(AND($J221="",$I221='Auto Responses'!$J$11),1,0))</f>
        <v>0</v>
      </c>
      <c r="O221" s="107">
        <f>IF(OR($F$22='Auto Responses'!$J$4,$E221='Auto Responses'!$L$13,$F221='Auto Responses'!$J$5),'Auto Responses'!$J$5,IF($J221="",$K221,IF($J221='Auto Responses'!$J$13,5,IF($J221='Auto Responses'!$J$12,10,IF($J221='Auto Responses'!$J$11,20,0)))))</f>
        <v>10</v>
      </c>
      <c r="P221" s="107">
        <f>IF(OR($O221='Auto Responses'!$J$5,$L221='Auto Responses'!$J$5),'Auto Responses'!$J$5,$O221*$L221)</f>
        <v>0</v>
      </c>
      <c r="Q221" s="107">
        <f t="shared" si="21"/>
        <v>0</v>
      </c>
      <c r="R221" s="107">
        <f t="shared" si="26"/>
        <v>0</v>
      </c>
      <c r="S221" s="107">
        <f t="shared" si="22"/>
        <v>0</v>
      </c>
      <c r="T221" s="107">
        <f t="shared" si="23"/>
        <v>0</v>
      </c>
      <c r="U221" s="107">
        <f t="shared" si="27"/>
        <v>62</v>
      </c>
      <c r="V221" s="107">
        <f t="shared" si="24"/>
        <v>0</v>
      </c>
    </row>
    <row r="222" spans="1:22" ht="57" x14ac:dyDescent="0.2">
      <c r="A222" s="4" t="str">
        <f>Questions!$A222</f>
        <v>PCID-07</v>
      </c>
      <c r="B222" s="4" t="str">
        <f t="shared" si="25"/>
        <v>PCID</v>
      </c>
      <c r="C222" s="4" t="str">
        <f>VLOOKUP($A222,Questions!$A$3:$L$333,2,0)&amp;""</f>
        <v>Are you on the list of Visa approved service providers?</v>
      </c>
      <c r="D222" s="4" t="str">
        <f>VLOOKUP($A222,Questions!$A$3:$L$333,11,0)&amp;""</f>
        <v/>
      </c>
      <c r="E222" s="4" t="str">
        <f>VLOOKUP($A222,Questions!$A$3:$L$333,12,0)&amp;""</f>
        <v>Case-Specific</v>
      </c>
      <c r="F222" s="4" t="str">
        <f>VLOOKUP($A222,'Institution Evaluation'!$A$56:$K$345,3,0)&amp;""</f>
        <v/>
      </c>
      <c r="G222" s="4" t="str">
        <f>VLOOKUP($A222,'Institution Evaluation'!$A$56:$K$345,7,0)&amp;""</f>
        <v>Yes</v>
      </c>
      <c r="H222" s="4" t="str">
        <f>VLOOKUP($A222,'Institution Evaluation'!$A$56:$K$345,8,0)&amp;""</f>
        <v/>
      </c>
      <c r="I222" s="4" t="str">
        <f>VLOOKUP($A222,'Institution Evaluation'!$A$56:$K$345,9,0)&amp;""</f>
        <v>Standard Importance</v>
      </c>
      <c r="J222" s="4" t="str">
        <f>VLOOKUP($A222,'Institution Evaluation'!$A$56:$K$345,10,0)&amp;""</f>
        <v/>
      </c>
      <c r="K222" s="4">
        <f>IF($I222='Auto Responses'!$J$11,20,IF($I222='Auto Responses'!$J$13,5,10))</f>
        <v>10</v>
      </c>
      <c r="L222" s="107">
        <f>IF($E222='Auto Responses'!$L$13, 'Auto Responses'!$J$5,IF(AND($D222='Auto Responses'!$J$27,$H222=""),'Auto Responses'!$J$5,IF(AND($D222='Auto Responses'!$J$27,$H222='Auto Responses'!$J$7),1,IF(AND($D222='Auto Responses'!$J$27,$H222='Auto Responses'!$J$8),0,IF(OR(AND($F222=$G222,$H222=""),$H222='Auto Responses'!$J$7),1,0)))))</f>
        <v>0</v>
      </c>
      <c r="M222" s="4" t="str">
        <f>VLOOKUP($A222,'Institution Evaluation'!$A$56:$K$345,11,0)&amp;""</f>
        <v>FALSE</v>
      </c>
      <c r="N222" s="4">
        <f>IF($J222='Auto Responses'!$J$11,1,IF(AND($J222="",$I222='Auto Responses'!$J$11),1,0))</f>
        <v>0</v>
      </c>
      <c r="O222" s="107">
        <f>IF(OR($F$22='Auto Responses'!$J$4,$E222='Auto Responses'!$L$13,$F222='Auto Responses'!$J$5),'Auto Responses'!$J$5,IF($J222="",$K222,IF($J222='Auto Responses'!$J$13,5,IF($J222='Auto Responses'!$J$12,10,IF($J222='Auto Responses'!$J$11,20,0)))))</f>
        <v>10</v>
      </c>
      <c r="P222" s="107">
        <f>IF(OR($O222='Auto Responses'!$J$5,$L222='Auto Responses'!$J$5),'Auto Responses'!$J$5,$O222*$L222)</f>
        <v>0</v>
      </c>
      <c r="Q222" s="107">
        <f t="shared" si="21"/>
        <v>0</v>
      </c>
      <c r="R222" s="107">
        <f t="shared" si="26"/>
        <v>0</v>
      </c>
      <c r="S222" s="107">
        <f t="shared" si="22"/>
        <v>0</v>
      </c>
      <c r="T222" s="107">
        <f t="shared" si="23"/>
        <v>0</v>
      </c>
      <c r="U222" s="107">
        <f t="shared" si="27"/>
        <v>62</v>
      </c>
      <c r="V222" s="107">
        <f t="shared" si="24"/>
        <v>0</v>
      </c>
    </row>
    <row r="223" spans="1:22" ht="57" x14ac:dyDescent="0.2">
      <c r="A223" s="4" t="str">
        <f>Questions!$A223</f>
        <v>PCID-08</v>
      </c>
      <c r="B223" s="4" t="str">
        <f t="shared" si="25"/>
        <v>PCID</v>
      </c>
      <c r="C223" s="4" t="str">
        <f>VLOOKUP($A223,Questions!$A$3:$L$333,2,0)&amp;""</f>
        <v>Are you classified as a merchant? If so, what level (1, 2, 3, 4)?</v>
      </c>
      <c r="D223" s="4" t="str">
        <f>VLOOKUP($A223,Questions!$A$3:$L$333,11,0)&amp;""</f>
        <v/>
      </c>
      <c r="E223" s="4" t="str">
        <f>VLOOKUP($A223,Questions!$A$3:$L$333,12,0)&amp;""</f>
        <v>Case-Specific</v>
      </c>
      <c r="F223" s="4" t="str">
        <f>VLOOKUP($A223,'Institution Evaluation'!$A$56:$K$345,3,0)&amp;""</f>
        <v/>
      </c>
      <c r="G223" s="4" t="str">
        <f>VLOOKUP($A223,'Institution Evaluation'!$A$56:$K$345,7,0)&amp;""</f>
        <v>Yes</v>
      </c>
      <c r="H223" s="4" t="str">
        <f>VLOOKUP($A223,'Institution Evaluation'!$A$56:$K$345,8,0)&amp;""</f>
        <v/>
      </c>
      <c r="I223" s="4" t="str">
        <f>VLOOKUP($A223,'Institution Evaluation'!$A$56:$K$345,9,0)&amp;""</f>
        <v>Standard Importance</v>
      </c>
      <c r="J223" s="4" t="str">
        <f>VLOOKUP($A223,'Institution Evaluation'!$A$56:$K$345,10,0)&amp;""</f>
        <v/>
      </c>
      <c r="K223" s="4">
        <f>IF($I223='Auto Responses'!$J$11,20,IF($I223='Auto Responses'!$J$13,5,10))</f>
        <v>10</v>
      </c>
      <c r="L223" s="107">
        <f>IF($E223='Auto Responses'!$L$13, 'Auto Responses'!$J$5,IF(AND($D223='Auto Responses'!$J$27,$H223=""),'Auto Responses'!$J$5,IF(AND($D223='Auto Responses'!$J$27,$H223='Auto Responses'!$J$7),1,IF(AND($D223='Auto Responses'!$J$27,$H223='Auto Responses'!$J$8),0,IF(OR(AND($F223=$G223,$H223=""),$H223='Auto Responses'!$J$7),1,0)))))</f>
        <v>0</v>
      </c>
      <c r="M223" s="4" t="str">
        <f>VLOOKUP($A223,'Institution Evaluation'!$A$56:$K$345,11,0)&amp;""</f>
        <v>FALSE</v>
      </c>
      <c r="N223" s="4">
        <f>IF($J223='Auto Responses'!$J$11,1,IF(AND($J223="",$I223='Auto Responses'!$J$11),1,0))</f>
        <v>0</v>
      </c>
      <c r="O223" s="107">
        <f>IF(OR($F$22='Auto Responses'!$J$4,$E223='Auto Responses'!$L$13,$F223='Auto Responses'!$J$5),'Auto Responses'!$J$5,IF($J223="",$K223,IF($J223='Auto Responses'!$J$13,5,IF($J223='Auto Responses'!$J$12,10,IF($J223='Auto Responses'!$J$11,20,0)))))</f>
        <v>10</v>
      </c>
      <c r="P223" s="107">
        <f>IF(OR($O223='Auto Responses'!$J$5,$L223='Auto Responses'!$J$5),'Auto Responses'!$J$5,$O223*$L223)</f>
        <v>0</v>
      </c>
      <c r="Q223" s="107">
        <f t="shared" si="21"/>
        <v>0</v>
      </c>
      <c r="R223" s="107">
        <f t="shared" si="26"/>
        <v>0</v>
      </c>
      <c r="S223" s="107">
        <f t="shared" si="22"/>
        <v>0</v>
      </c>
      <c r="T223" s="107">
        <f t="shared" si="23"/>
        <v>0</v>
      </c>
      <c r="U223" s="107">
        <f t="shared" si="27"/>
        <v>62</v>
      </c>
      <c r="V223" s="107">
        <f t="shared" si="24"/>
        <v>0</v>
      </c>
    </row>
    <row r="224" spans="1:22" ht="57" x14ac:dyDescent="0.2">
      <c r="A224" s="4" t="str">
        <f>Questions!$A224</f>
        <v>PCID-09</v>
      </c>
      <c r="B224" s="4" t="str">
        <f t="shared" si="25"/>
        <v>PCID</v>
      </c>
      <c r="C224" s="4" t="str">
        <f>VLOOKUP($A224,Questions!$A$3:$L$333,2,0)&amp;""</f>
        <v>Describe the architecture employed by the system to verify and authorize credit card transactions.</v>
      </c>
      <c r="D224" s="4" t="str">
        <f>VLOOKUP($A224,Questions!$A$3:$L$333,11,0)&amp;""</f>
        <v/>
      </c>
      <c r="E224" s="4" t="str">
        <f>VLOOKUP($A224,Questions!$A$3:$L$333,12,0)&amp;""</f>
        <v>Not scored</v>
      </c>
      <c r="F224" s="4" t="str">
        <f>VLOOKUP($A224,'Institution Evaluation'!$A$56:$K$345,3,0)&amp;""</f>
        <v/>
      </c>
      <c r="G224" s="4" t="str">
        <f>VLOOKUP($A224,'Institution Evaluation'!$A$56:$K$345,7,0)&amp;""</f>
        <v>Not scored</v>
      </c>
      <c r="H224" s="4" t="str">
        <f>VLOOKUP($A224,'Institution Evaluation'!$A$56:$K$345,8,0)&amp;""</f>
        <v/>
      </c>
      <c r="I224" s="4" t="str">
        <f>VLOOKUP($A224,'Institution Evaluation'!$A$56:$K$345,9,0)&amp;""</f>
        <v/>
      </c>
      <c r="J224" s="4" t="str">
        <f>VLOOKUP($A224,'Institution Evaluation'!$A$56:$K$345,10,0)&amp;""</f>
        <v/>
      </c>
      <c r="K224" s="4">
        <f>IF($I224='Auto Responses'!$J$11,20,IF($I224='Auto Responses'!$J$13,5,10))</f>
        <v>10</v>
      </c>
      <c r="L224" s="107" t="str">
        <f>IF($E224='Auto Responses'!$L$13, 'Auto Responses'!$J$5,IF(AND($D224='Auto Responses'!$J$27,$H224=""),'Auto Responses'!$J$5,IF(AND($D224='Auto Responses'!$J$27,$H224='Auto Responses'!$J$7),1,IF(AND($D224='Auto Responses'!$J$27,$H224='Auto Responses'!$J$8),0,IF(OR(AND($F224=$G224,$H224=""),$H224='Auto Responses'!$J$7),1,0)))))</f>
        <v>N/A</v>
      </c>
      <c r="M224" s="4" t="str">
        <f>VLOOKUP($A224,'Institution Evaluation'!$A$56:$K$345,11,0)&amp;""</f>
        <v>FALSE</v>
      </c>
      <c r="N224" s="4">
        <f>IF($J224='Auto Responses'!$J$11,1,IF(AND($J224="",$I224='Auto Responses'!$J$11),1,0))</f>
        <v>0</v>
      </c>
      <c r="O224" s="107" t="str">
        <f>IF(OR($F$22='Auto Responses'!$J$4,$E224='Auto Responses'!$L$13,$F224='Auto Responses'!$J$5),'Auto Responses'!$J$5,IF($J224="",$K224,IF($J224='Auto Responses'!$J$13,5,IF($J224='Auto Responses'!$J$12,10,IF($J224='Auto Responses'!$J$11,20,0)))))</f>
        <v>N/A</v>
      </c>
      <c r="P224" s="107" t="str">
        <f>IF(OR($O224='Auto Responses'!$J$5,$L224='Auto Responses'!$J$5),'Auto Responses'!$J$5,$O224*$L224)</f>
        <v>N/A</v>
      </c>
      <c r="Q224" s="107">
        <f t="shared" si="21"/>
        <v>0</v>
      </c>
      <c r="R224" s="107">
        <f t="shared" si="26"/>
        <v>0</v>
      </c>
      <c r="S224" s="107">
        <f t="shared" si="22"/>
        <v>0</v>
      </c>
      <c r="T224" s="107">
        <f t="shared" si="23"/>
        <v>0</v>
      </c>
      <c r="U224" s="107">
        <f t="shared" si="27"/>
        <v>62</v>
      </c>
      <c r="V224" s="107">
        <f t="shared" si="24"/>
        <v>0</v>
      </c>
    </row>
    <row r="225" spans="1:22" ht="57" x14ac:dyDescent="0.2">
      <c r="A225" s="4" t="str">
        <f>Questions!$A225</f>
        <v>PCID-10</v>
      </c>
      <c r="B225" s="4" t="str">
        <f t="shared" si="25"/>
        <v>PCID</v>
      </c>
      <c r="C225" s="4" t="str">
        <f>VLOOKUP($A225,Questions!$A$3:$L$333,2,0)&amp;""</f>
        <v>What payment processors/gateways does the system support?</v>
      </c>
      <c r="D225" s="4" t="str">
        <f>VLOOKUP($A225,Questions!$A$3:$L$333,11,0)&amp;""</f>
        <v/>
      </c>
      <c r="E225" s="4" t="str">
        <f>VLOOKUP($A225,Questions!$A$3:$L$333,12,0)&amp;""</f>
        <v>Not scored</v>
      </c>
      <c r="F225" s="4" t="str">
        <f>VLOOKUP($A225,'Institution Evaluation'!$A$56:$K$345,3,0)&amp;""</f>
        <v/>
      </c>
      <c r="G225" s="4" t="str">
        <f>VLOOKUP($A225,'Institution Evaluation'!$A$56:$K$345,7,0)&amp;""</f>
        <v>Not scored</v>
      </c>
      <c r="H225" s="4" t="str">
        <f>VLOOKUP($A225,'Institution Evaluation'!$A$56:$K$345,8,0)&amp;""</f>
        <v/>
      </c>
      <c r="I225" s="4" t="str">
        <f>VLOOKUP($A225,'Institution Evaluation'!$A$56:$K$345,9,0)&amp;""</f>
        <v/>
      </c>
      <c r="J225" s="4" t="str">
        <f>VLOOKUP($A225,'Institution Evaluation'!$A$56:$K$345,10,0)&amp;""</f>
        <v/>
      </c>
      <c r="K225" s="4">
        <f>IF($I225='Auto Responses'!$J$11,20,IF($I225='Auto Responses'!$J$13,5,10))</f>
        <v>10</v>
      </c>
      <c r="L225" s="107" t="str">
        <f>IF($E225='Auto Responses'!$L$13, 'Auto Responses'!$J$5,IF(AND($D225='Auto Responses'!$J$27,$H225=""),'Auto Responses'!$J$5,IF(AND($D225='Auto Responses'!$J$27,$H225='Auto Responses'!$J$7),1,IF(AND($D225='Auto Responses'!$J$27,$H225='Auto Responses'!$J$8),0,IF(OR(AND($F225=$G225,$H225=""),$H225='Auto Responses'!$J$7),1,0)))))</f>
        <v>N/A</v>
      </c>
      <c r="M225" s="4" t="str">
        <f>VLOOKUP($A225,'Institution Evaluation'!$A$56:$K$345,11,0)&amp;""</f>
        <v>FALSE</v>
      </c>
      <c r="N225" s="4">
        <f>IF($J225='Auto Responses'!$J$11,1,IF(AND($J225="",$I225='Auto Responses'!$J$11),1,0))</f>
        <v>0</v>
      </c>
      <c r="O225" s="107" t="str">
        <f>IF(OR($F$22='Auto Responses'!$J$4,$E225='Auto Responses'!$L$13,$F225='Auto Responses'!$J$5),'Auto Responses'!$J$5,IF($J225="",$K225,IF($J225='Auto Responses'!$J$13,5,IF($J225='Auto Responses'!$J$12,10,IF($J225='Auto Responses'!$J$11,20,0)))))</f>
        <v>N/A</v>
      </c>
      <c r="P225" s="107" t="str">
        <f>IF(OR($O225='Auto Responses'!$J$5,$L225='Auto Responses'!$J$5),'Auto Responses'!$J$5,$O225*$L225)</f>
        <v>N/A</v>
      </c>
      <c r="Q225" s="107">
        <f t="shared" si="21"/>
        <v>0</v>
      </c>
      <c r="R225" s="107">
        <f t="shared" si="26"/>
        <v>0</v>
      </c>
      <c r="S225" s="107">
        <f t="shared" si="22"/>
        <v>0</v>
      </c>
      <c r="T225" s="107">
        <f t="shared" si="23"/>
        <v>0</v>
      </c>
      <c r="U225" s="107">
        <f t="shared" si="27"/>
        <v>62</v>
      </c>
      <c r="V225" s="107">
        <f t="shared" si="24"/>
        <v>0</v>
      </c>
    </row>
    <row r="226" spans="1:22" ht="57" x14ac:dyDescent="0.2">
      <c r="A226" s="4" t="str">
        <f>Questions!$A226</f>
        <v>PCID-11</v>
      </c>
      <c r="B226" s="4" t="str">
        <f t="shared" si="25"/>
        <v>PCID</v>
      </c>
      <c r="C226" s="4" t="str">
        <f>VLOOKUP($A226,Questions!$A$3:$L$333,2,0)&amp;""</f>
        <v>Can the application be installed in a PCI DSS–compliant manner?</v>
      </c>
      <c r="D226" s="4" t="str">
        <f>VLOOKUP($A226,Questions!$A$3:$L$333,11,0)&amp;""</f>
        <v/>
      </c>
      <c r="E226" s="4" t="str">
        <f>VLOOKUP($A226,Questions!$A$3:$L$333,12,0)&amp;""</f>
        <v>Case-Specific</v>
      </c>
      <c r="F226" s="4" t="str">
        <f>VLOOKUP($A226,'Institution Evaluation'!$A$56:$K$345,3,0)&amp;""</f>
        <v/>
      </c>
      <c r="G226" s="4" t="str">
        <f>VLOOKUP($A226,'Institution Evaluation'!$A$56:$K$345,7,0)&amp;""</f>
        <v>Yes</v>
      </c>
      <c r="H226" s="4" t="str">
        <f>VLOOKUP($A226,'Institution Evaluation'!$A$56:$K$345,8,0)&amp;""</f>
        <v/>
      </c>
      <c r="I226" s="4" t="str">
        <f>VLOOKUP($A226,'Institution Evaluation'!$A$56:$K$345,9,0)&amp;""</f>
        <v>Minor Importance</v>
      </c>
      <c r="J226" s="4" t="str">
        <f>VLOOKUP($A226,'Institution Evaluation'!$A$56:$K$345,10,0)&amp;""</f>
        <v/>
      </c>
      <c r="K226" s="4">
        <f>IF($I226='Auto Responses'!$J$11,20,IF($I226='Auto Responses'!$J$13,5,10))</f>
        <v>5</v>
      </c>
      <c r="L226" s="107">
        <f>IF($E226='Auto Responses'!$L$13, 'Auto Responses'!$J$5,IF(AND($D226='Auto Responses'!$J$27,$H226=""),'Auto Responses'!$J$5,IF(AND($D226='Auto Responses'!$J$27,$H226='Auto Responses'!$J$7),1,IF(AND($D226='Auto Responses'!$J$27,$H226='Auto Responses'!$J$8),0,IF(OR(AND($F226=$G226,$H226=""),$H226='Auto Responses'!$J$7),1,0)))))</f>
        <v>0</v>
      </c>
      <c r="M226" s="4" t="str">
        <f>VLOOKUP($A226,'Institution Evaluation'!$A$56:$K$345,11,0)&amp;""</f>
        <v>FALSE</v>
      </c>
      <c r="N226" s="4">
        <f>IF($J226='Auto Responses'!$J$11,1,IF(AND($J226="",$I226='Auto Responses'!$J$11),1,0))</f>
        <v>0</v>
      </c>
      <c r="O226" s="107">
        <f>IF(OR($F$22='Auto Responses'!$J$4,$E226='Auto Responses'!$L$13,$F226='Auto Responses'!$J$5),'Auto Responses'!$J$5,IF($J226="",$K226,IF($J226='Auto Responses'!$J$13,5,IF($J226='Auto Responses'!$J$12,10,IF($J226='Auto Responses'!$J$11,20,0)))))</f>
        <v>5</v>
      </c>
      <c r="P226" s="107">
        <f>IF(OR($O226='Auto Responses'!$J$5,$L226='Auto Responses'!$J$5),'Auto Responses'!$J$5,$O226*$L226)</f>
        <v>0</v>
      </c>
      <c r="Q226" s="107">
        <f t="shared" si="21"/>
        <v>0</v>
      </c>
      <c r="R226" s="107">
        <f t="shared" si="26"/>
        <v>0</v>
      </c>
      <c r="S226" s="107">
        <f t="shared" si="22"/>
        <v>0</v>
      </c>
      <c r="T226" s="107">
        <f t="shared" si="23"/>
        <v>0</v>
      </c>
      <c r="U226" s="107">
        <f t="shared" si="27"/>
        <v>62</v>
      </c>
      <c r="V226" s="107">
        <f t="shared" si="24"/>
        <v>0</v>
      </c>
    </row>
    <row r="227" spans="1:22" ht="71.25" x14ac:dyDescent="0.2">
      <c r="A227" s="4" t="str">
        <f>Questions!$A227</f>
        <v>PCID-12</v>
      </c>
      <c r="B227" s="4" t="str">
        <f t="shared" si="25"/>
        <v>PCID</v>
      </c>
      <c r="C227" s="4" t="str">
        <f>VLOOKUP($A227,Questions!$A$3:$L$333,2,0)&amp;""</f>
        <v>Include documentation describing the system's abilities to comply with the PCI DSS and any features or capabilities of the system that must be added or changed in order to operate in compliance with the standards.</v>
      </c>
      <c r="D227" s="4" t="str">
        <f>VLOOKUP($A227,Questions!$A$3:$L$333,11,0)&amp;""</f>
        <v/>
      </c>
      <c r="E227" s="4" t="str">
        <f>VLOOKUP($A227,Questions!$A$3:$L$333,12,0)&amp;""</f>
        <v>Not scored</v>
      </c>
      <c r="F227" s="4" t="str">
        <f>VLOOKUP($A227,'Institution Evaluation'!$A$56:$K$345,3,0)&amp;""</f>
        <v/>
      </c>
      <c r="G227" s="4" t="str">
        <f>VLOOKUP($A227,'Institution Evaluation'!$A$56:$K$345,7,0)&amp;""</f>
        <v>Not scored</v>
      </c>
      <c r="H227" s="4" t="str">
        <f>VLOOKUP($A227,'Institution Evaluation'!$A$56:$K$345,8,0)&amp;""</f>
        <v/>
      </c>
      <c r="I227" s="4" t="str">
        <f>VLOOKUP($A227,'Institution Evaluation'!$A$56:$K$345,9,0)&amp;""</f>
        <v/>
      </c>
      <c r="J227" s="4" t="str">
        <f>VLOOKUP($A227,'Institution Evaluation'!$A$56:$K$345,10,0)&amp;""</f>
        <v/>
      </c>
      <c r="K227" s="4">
        <f>IF($I227='Auto Responses'!$J$11,20,IF($I227='Auto Responses'!$J$13,5,10))</f>
        <v>10</v>
      </c>
      <c r="L227" s="107" t="str">
        <f>IF($E227='Auto Responses'!$L$13, 'Auto Responses'!$J$5,IF(AND($D227='Auto Responses'!$J$27,$H227=""),'Auto Responses'!$J$5,IF(AND($D227='Auto Responses'!$J$27,$H227='Auto Responses'!$J$7),1,IF(AND($D227='Auto Responses'!$J$27,$H227='Auto Responses'!$J$8),0,IF(OR(AND($F227=$G227,$H227=""),$H227='Auto Responses'!$J$7),1,0)))))</f>
        <v>N/A</v>
      </c>
      <c r="M227" s="4" t="str">
        <f>VLOOKUP($A227,'Institution Evaluation'!$A$56:$K$345,11,0)&amp;""</f>
        <v>FALSE</v>
      </c>
      <c r="N227" s="4">
        <f>IF($J227='Auto Responses'!$J$11,1,IF(AND($J227="",$I227='Auto Responses'!$J$11),1,0))</f>
        <v>0</v>
      </c>
      <c r="O227" s="107" t="str">
        <f>IF(OR($F$22='Auto Responses'!$J$4,$E227='Auto Responses'!$L$13,$F227='Auto Responses'!$J$5),'Auto Responses'!$J$5,IF($J227="",$K227,IF($J227='Auto Responses'!$J$13,5,IF($J227='Auto Responses'!$J$12,10,IF($J227='Auto Responses'!$J$11,20,0)))))</f>
        <v>N/A</v>
      </c>
      <c r="P227" s="107" t="str">
        <f>IF(OR($O227='Auto Responses'!$J$5,$L227='Auto Responses'!$J$5),'Auto Responses'!$J$5,$O227*$L227)</f>
        <v>N/A</v>
      </c>
      <c r="Q227" s="107">
        <f t="shared" si="21"/>
        <v>0</v>
      </c>
      <c r="R227" s="107">
        <f t="shared" si="26"/>
        <v>0</v>
      </c>
      <c r="S227" s="107">
        <f t="shared" si="22"/>
        <v>0</v>
      </c>
      <c r="T227" s="107">
        <f t="shared" si="23"/>
        <v>0</v>
      </c>
      <c r="U227" s="107">
        <f t="shared" si="27"/>
        <v>62</v>
      </c>
      <c r="V227" s="107">
        <f t="shared" si="24"/>
        <v>0</v>
      </c>
    </row>
    <row r="228" spans="1:22" ht="57" x14ac:dyDescent="0.2">
      <c r="A228" s="4" t="str">
        <f>Questions!$A228</f>
        <v>OPEM-01</v>
      </c>
      <c r="B228" s="4" t="str">
        <f t="shared" si="25"/>
        <v>OPEM</v>
      </c>
      <c r="C228" s="4" t="str">
        <f>VLOOKUP($A228,Questions!$A$3:$L$333,2,0)&amp;""</f>
        <v>Do you support role-based access control (RBAC) for system administrators?</v>
      </c>
      <c r="D228" s="4" t="str">
        <f>VLOOKUP($A228,Questions!$A$3:$L$333,11,0)&amp;""</f>
        <v/>
      </c>
      <c r="E228" s="4" t="str">
        <f>VLOOKUP($A228,Questions!$A$3:$L$333,12,0)&amp;""</f>
        <v>Case-Specific</v>
      </c>
      <c r="F228" s="4" t="str">
        <f>VLOOKUP($A228,'Institution Evaluation'!$A$56:$K$345,3,0)&amp;""</f>
        <v/>
      </c>
      <c r="G228" s="4" t="str">
        <f>VLOOKUP($A228,'Institution Evaluation'!$A$56:$K$345,7,0)&amp;""</f>
        <v>Yes</v>
      </c>
      <c r="H228" s="4" t="str">
        <f>VLOOKUP($A228,'Institution Evaluation'!$A$56:$K$345,8,0)&amp;""</f>
        <v/>
      </c>
      <c r="I228" s="4" t="str">
        <f>VLOOKUP($A228,'Institution Evaluation'!$A$56:$K$345,9,0)&amp;""</f>
        <v>Standard Importance</v>
      </c>
      <c r="J228" s="4" t="str">
        <f>VLOOKUP($A228,'Institution Evaluation'!$A$56:$K$345,10,0)&amp;""</f>
        <v/>
      </c>
      <c r="K228" s="4">
        <f>IF($I228='Auto Responses'!$J$11,20,IF($I228='Auto Responses'!$J$13,5,10))</f>
        <v>10</v>
      </c>
      <c r="L228" s="107">
        <f>IF($E228='Auto Responses'!$L$13, 'Auto Responses'!$J$5,IF(AND($D228='Auto Responses'!$J$27,$H228=""),'Auto Responses'!$J$5,IF(AND($D228='Auto Responses'!$J$27,$H228='Auto Responses'!$J$7),1,IF(AND($D228='Auto Responses'!$J$27,$H228='Auto Responses'!$J$8),0,IF(OR(AND($F228=$G228,$H228=""),$H228='Auto Responses'!$J$7),1,0)))))</f>
        <v>0</v>
      </c>
      <c r="M228" s="4" t="str">
        <f>VLOOKUP($A228,'Institution Evaluation'!$A$56:$K$345,11,0)&amp;""</f>
        <v>FALSE</v>
      </c>
      <c r="N228" s="4">
        <f>IF($J228='Auto Responses'!$J$11,1,IF(AND($J228="",$I228='Auto Responses'!$J$11),1,0))</f>
        <v>0</v>
      </c>
      <c r="O228" s="107">
        <f>IF(OR($F$23='Auto Responses'!$J$4,$E228='Auto Responses'!$L$13,$F228='Auto Responses'!$J$5),'Auto Responses'!$J$5,IF($J228="",$K228,IF($J228='Auto Responses'!$J$13,5,IF($J228='Auto Responses'!$J$12,10,IF($J228='Auto Responses'!$J$11,20,0)))))</f>
        <v>10</v>
      </c>
      <c r="P228" s="107">
        <f>IF(OR($O228='Auto Responses'!$J$5,$L228='Auto Responses'!$J$5),'Auto Responses'!$J$5,$O228*$L228)</f>
        <v>0</v>
      </c>
      <c r="Q228" s="107">
        <f t="shared" si="21"/>
        <v>0</v>
      </c>
      <c r="R228" s="107">
        <f t="shared" si="26"/>
        <v>0</v>
      </c>
      <c r="S228" s="107">
        <f t="shared" si="22"/>
        <v>0</v>
      </c>
      <c r="T228" s="107">
        <f t="shared" si="23"/>
        <v>0</v>
      </c>
      <c r="U228" s="107">
        <f t="shared" si="27"/>
        <v>62</v>
      </c>
      <c r="V228" s="107">
        <f t="shared" si="24"/>
        <v>0</v>
      </c>
    </row>
    <row r="229" spans="1:22" ht="57" x14ac:dyDescent="0.2">
      <c r="A229" s="4" t="str">
        <f>Questions!$A229</f>
        <v>OPEM-02</v>
      </c>
      <c r="B229" s="4" t="str">
        <f t="shared" si="25"/>
        <v>OPEM</v>
      </c>
      <c r="C229" s="4" t="str">
        <f>VLOOKUP($A229,Questions!$A$3:$L$333,2,0)&amp;""</f>
        <v>Can your employees access customer systems remotely?</v>
      </c>
      <c r="D229" s="4" t="str">
        <f>VLOOKUP($A229,Questions!$A$3:$L$333,11,0)&amp;""</f>
        <v/>
      </c>
      <c r="E229" s="4" t="str">
        <f>VLOOKUP($A229,Questions!$A$3:$L$333,12,0)&amp;""</f>
        <v>Case-Specific</v>
      </c>
      <c r="F229" s="4" t="str">
        <f>VLOOKUP($A229,'Institution Evaluation'!$A$56:$K$345,3,0)&amp;""</f>
        <v/>
      </c>
      <c r="G229" s="4" t="str">
        <f>VLOOKUP($A229,'Institution Evaluation'!$A$56:$K$345,7,0)&amp;""</f>
        <v>No</v>
      </c>
      <c r="H229" s="4" t="str">
        <f>VLOOKUP($A229,'Institution Evaluation'!$A$56:$K$345,8,0)&amp;""</f>
        <v/>
      </c>
      <c r="I229" s="4" t="str">
        <f>VLOOKUP($A229,'Institution Evaluation'!$A$56:$K$345,9,0)&amp;""</f>
        <v>Standard Importance</v>
      </c>
      <c r="J229" s="4" t="str">
        <f>VLOOKUP($A229,'Institution Evaluation'!$A$56:$K$345,10,0)&amp;""</f>
        <v/>
      </c>
      <c r="K229" s="4">
        <f>IF($I229='Auto Responses'!$J$11,20,IF($I229='Auto Responses'!$J$13,5,10))</f>
        <v>10</v>
      </c>
      <c r="L229" s="107">
        <f>IF($E229='Auto Responses'!$L$13, 'Auto Responses'!$J$5,IF(AND($D229='Auto Responses'!$J$27,$H229=""),'Auto Responses'!$J$5,IF(AND($D229='Auto Responses'!$J$27,$H229='Auto Responses'!$J$7),1,IF(AND($D229='Auto Responses'!$J$27,$H229='Auto Responses'!$J$8),0,IF(OR(AND($F229=$G229,$H229=""),$H229='Auto Responses'!$J$7),1,0)))))</f>
        <v>0</v>
      </c>
      <c r="M229" s="4" t="str">
        <f>VLOOKUP($A229,'Institution Evaluation'!$A$56:$K$345,11,0)&amp;""</f>
        <v>FALSE</v>
      </c>
      <c r="N229" s="4">
        <f>IF($J229='Auto Responses'!$J$11,1,IF(AND($J229="",$I229='Auto Responses'!$J$11),1,0))</f>
        <v>0</v>
      </c>
      <c r="O229" s="107">
        <f>IF(OR($F$23='Auto Responses'!$J$4,$E229='Auto Responses'!$L$13,$F229='Auto Responses'!$J$5),'Auto Responses'!$J$5,IF($J229="",$K229,IF($J229='Auto Responses'!$J$13,5,IF($J229='Auto Responses'!$J$12,10,IF($J229='Auto Responses'!$J$11,20,0)))))</f>
        <v>10</v>
      </c>
      <c r="P229" s="107">
        <f>IF(OR($O229='Auto Responses'!$J$5,$L229='Auto Responses'!$J$5),'Auto Responses'!$J$5,$O229*$L229)</f>
        <v>0</v>
      </c>
      <c r="Q229" s="107">
        <f t="shared" si="21"/>
        <v>0</v>
      </c>
      <c r="R229" s="107">
        <f t="shared" si="26"/>
        <v>0</v>
      </c>
      <c r="S229" s="107">
        <f t="shared" si="22"/>
        <v>0</v>
      </c>
      <c r="T229" s="107">
        <f t="shared" si="23"/>
        <v>0</v>
      </c>
      <c r="U229" s="107">
        <f t="shared" si="27"/>
        <v>62</v>
      </c>
      <c r="V229" s="107">
        <f t="shared" si="24"/>
        <v>0</v>
      </c>
    </row>
    <row r="230" spans="1:22" ht="57" x14ac:dyDescent="0.2">
      <c r="A230" s="4" t="str">
        <f>Questions!$A230</f>
        <v>OPEM-03</v>
      </c>
      <c r="B230" s="4" t="str">
        <f t="shared" si="25"/>
        <v>OPEM</v>
      </c>
      <c r="C230" s="4" t="str">
        <f>VLOOKUP($A230,Questions!$A$3:$L$333,2,0)&amp;""</f>
        <v>Can you provide overall system and/or application architecture diagrams including a full description of the data communications architecture for all components of the system?</v>
      </c>
      <c r="D230" s="4" t="str">
        <f>VLOOKUP($A230,Questions!$A$3:$L$333,11,0)&amp;""</f>
        <v/>
      </c>
      <c r="E230" s="4" t="str">
        <f>VLOOKUP($A230,Questions!$A$3:$L$333,12,0)&amp;""</f>
        <v>Case-Specific</v>
      </c>
      <c r="F230" s="4" t="str">
        <f>VLOOKUP($A230,'Institution Evaluation'!$A$56:$K$345,3,0)&amp;""</f>
        <v/>
      </c>
      <c r="G230" s="4" t="str">
        <f>VLOOKUP($A230,'Institution Evaluation'!$A$56:$K$345,7,0)&amp;""</f>
        <v>Yes</v>
      </c>
      <c r="H230" s="4" t="str">
        <f>VLOOKUP($A230,'Institution Evaluation'!$A$56:$K$345,8,0)&amp;""</f>
        <v/>
      </c>
      <c r="I230" s="4" t="str">
        <f>VLOOKUP($A230,'Institution Evaluation'!$A$56:$K$345,9,0)&amp;""</f>
        <v>Standard Importance</v>
      </c>
      <c r="J230" s="4" t="str">
        <f>VLOOKUP($A230,'Institution Evaluation'!$A$56:$K$345,10,0)&amp;""</f>
        <v/>
      </c>
      <c r="K230" s="4">
        <f>IF($I230='Auto Responses'!$J$11,20,IF($I230='Auto Responses'!$J$13,5,10))</f>
        <v>10</v>
      </c>
      <c r="L230" s="107">
        <f>IF($E230='Auto Responses'!$L$13, 'Auto Responses'!$J$5,IF(AND($D230='Auto Responses'!$J$27,$H230=""),'Auto Responses'!$J$5,IF(AND($D230='Auto Responses'!$J$27,$H230='Auto Responses'!$J$7),1,IF(AND($D230='Auto Responses'!$J$27,$H230='Auto Responses'!$J$8),0,IF(OR(AND($F230=$G230,$H230=""),$H230='Auto Responses'!$J$7),1,0)))))</f>
        <v>0</v>
      </c>
      <c r="M230" s="4" t="str">
        <f>VLOOKUP($A230,'Institution Evaluation'!$A$56:$K$345,11,0)&amp;""</f>
        <v>FALSE</v>
      </c>
      <c r="N230" s="4">
        <f>IF($J230='Auto Responses'!$J$11,1,IF(AND($J230="",$I230='Auto Responses'!$J$11),1,0))</f>
        <v>0</v>
      </c>
      <c r="O230" s="107">
        <f>IF(OR($F$23='Auto Responses'!$J$4,$E230='Auto Responses'!$L$13,$F230='Auto Responses'!$J$5),'Auto Responses'!$J$5,IF($J230="",$K230,IF($J230='Auto Responses'!$J$13,5,IF($J230='Auto Responses'!$J$12,10,IF($J230='Auto Responses'!$J$11,20,0)))))</f>
        <v>10</v>
      </c>
      <c r="P230" s="107">
        <f>IF(OR($O230='Auto Responses'!$J$5,$L230='Auto Responses'!$J$5),'Auto Responses'!$J$5,$O230*$L230)</f>
        <v>0</v>
      </c>
      <c r="Q230" s="107">
        <f t="shared" si="21"/>
        <v>0</v>
      </c>
      <c r="R230" s="107">
        <f t="shared" si="26"/>
        <v>0</v>
      </c>
      <c r="S230" s="107">
        <f t="shared" si="22"/>
        <v>0</v>
      </c>
      <c r="T230" s="107">
        <f t="shared" si="23"/>
        <v>0</v>
      </c>
      <c r="U230" s="107">
        <f t="shared" si="27"/>
        <v>62</v>
      </c>
      <c r="V230" s="107">
        <f t="shared" si="24"/>
        <v>0</v>
      </c>
    </row>
    <row r="231" spans="1:22" ht="57" x14ac:dyDescent="0.2">
      <c r="A231" s="4" t="str">
        <f>Questions!$A231</f>
        <v>OPEM-04</v>
      </c>
      <c r="B231" s="4" t="str">
        <f t="shared" si="25"/>
        <v>OPEM</v>
      </c>
      <c r="C231" s="4" t="str">
        <f>VLOOKUP($A231,Questions!$A$3:$L$333,2,0)&amp;""</f>
        <v>Do you require remote management of the system?</v>
      </c>
      <c r="D231" s="4" t="str">
        <f>VLOOKUP($A231,Questions!$A$3:$L$333,11,0)&amp;""</f>
        <v/>
      </c>
      <c r="E231" s="4" t="str">
        <f>VLOOKUP($A231,Questions!$A$3:$L$333,12,0)&amp;""</f>
        <v>Case-Specific</v>
      </c>
      <c r="F231" s="4" t="str">
        <f>VLOOKUP($A231,'Institution Evaluation'!$A$56:$K$345,3,0)&amp;""</f>
        <v/>
      </c>
      <c r="G231" s="4" t="str">
        <f>VLOOKUP($A231,'Institution Evaluation'!$A$56:$K$345,7,0)&amp;""</f>
        <v>No</v>
      </c>
      <c r="H231" s="4" t="str">
        <f>VLOOKUP($A231,'Institution Evaluation'!$A$56:$K$345,8,0)&amp;""</f>
        <v/>
      </c>
      <c r="I231" s="4" t="str">
        <f>VLOOKUP($A231,'Institution Evaluation'!$A$56:$K$345,9,0)&amp;""</f>
        <v>Standard Importance</v>
      </c>
      <c r="J231" s="4" t="str">
        <f>VLOOKUP($A231,'Institution Evaluation'!$A$56:$K$345,10,0)&amp;""</f>
        <v/>
      </c>
      <c r="K231" s="4">
        <f>IF($I231='Auto Responses'!$J$11,20,IF($I231='Auto Responses'!$J$13,5,10))</f>
        <v>10</v>
      </c>
      <c r="L231" s="107">
        <f>IF($E231='Auto Responses'!$L$13, 'Auto Responses'!$J$5,IF(AND($D231='Auto Responses'!$J$27,$H231=""),'Auto Responses'!$J$5,IF(AND($D231='Auto Responses'!$J$27,$H231='Auto Responses'!$J$7),1,IF(AND($D231='Auto Responses'!$J$27,$H231='Auto Responses'!$J$8),0,IF(OR(AND($F231=$G231,$H231=""),$H231='Auto Responses'!$J$7),1,0)))))</f>
        <v>0</v>
      </c>
      <c r="M231" s="4" t="str">
        <f>VLOOKUP($A231,'Institution Evaluation'!$A$56:$K$345,11,0)&amp;""</f>
        <v>FALSE</v>
      </c>
      <c r="N231" s="4">
        <f>IF($J231='Auto Responses'!$J$11,1,IF(AND($J231="",$I231='Auto Responses'!$J$11),1,0))</f>
        <v>0</v>
      </c>
      <c r="O231" s="107">
        <f>IF(OR($F$23='Auto Responses'!$J$4,$E231='Auto Responses'!$L$13,$F231='Auto Responses'!$J$5),'Auto Responses'!$J$5,IF($J231="",$K231,IF($J231='Auto Responses'!$J$13,5,IF($J231='Auto Responses'!$J$12,10,IF($J231='Auto Responses'!$J$11,20,0)))))</f>
        <v>10</v>
      </c>
      <c r="P231" s="107">
        <f>IF(OR($O231='Auto Responses'!$J$5,$L231='Auto Responses'!$J$5),'Auto Responses'!$J$5,$O231*$L231)</f>
        <v>0</v>
      </c>
      <c r="Q231" s="107">
        <f t="shared" si="21"/>
        <v>0</v>
      </c>
      <c r="R231" s="107">
        <f t="shared" si="26"/>
        <v>0</v>
      </c>
      <c r="S231" s="107">
        <f t="shared" si="22"/>
        <v>0</v>
      </c>
      <c r="T231" s="107">
        <f t="shared" si="23"/>
        <v>0</v>
      </c>
      <c r="U231" s="107">
        <f t="shared" si="27"/>
        <v>62</v>
      </c>
      <c r="V231" s="107">
        <f t="shared" si="24"/>
        <v>0</v>
      </c>
    </row>
    <row r="232" spans="1:22" ht="57" x14ac:dyDescent="0.2">
      <c r="A232" s="4" t="str">
        <f>Questions!$A232</f>
        <v>OPEM-05</v>
      </c>
      <c r="B232" s="4" t="str">
        <f t="shared" si="25"/>
        <v>OPEM</v>
      </c>
      <c r="C232" s="4" t="str">
        <f>VLOOKUP($A232,Questions!$A$3:$L$333,2,0)&amp;""</f>
        <v>If you answered "yes" to OPEM-04, are your remote actions and changes logged or otherwise visible to the campus?</v>
      </c>
      <c r="D232" s="4" t="str">
        <f>VLOOKUP($A232,Questions!$A$3:$L$333,11,0)&amp;""</f>
        <v/>
      </c>
      <c r="E232" s="4" t="str">
        <f>VLOOKUP($A232,Questions!$A$3:$L$333,12,0)&amp;""</f>
        <v>Case-Specific</v>
      </c>
      <c r="F232" s="4" t="str">
        <f>VLOOKUP($A232,'Institution Evaluation'!$A$56:$K$345,3,0)&amp;""</f>
        <v/>
      </c>
      <c r="G232" s="4" t="str">
        <f>VLOOKUP($A232,'Institution Evaluation'!$A$56:$K$345,7,0)&amp;""</f>
        <v>Yes</v>
      </c>
      <c r="H232" s="4" t="str">
        <f>VLOOKUP($A232,'Institution Evaluation'!$A$56:$K$345,8,0)&amp;""</f>
        <v/>
      </c>
      <c r="I232" s="4" t="str">
        <f>VLOOKUP($A232,'Institution Evaluation'!$A$56:$K$345,9,0)&amp;""</f>
        <v>Standard Importance</v>
      </c>
      <c r="J232" s="4" t="str">
        <f>VLOOKUP($A232,'Institution Evaluation'!$A$56:$K$345,10,0)&amp;""</f>
        <v/>
      </c>
      <c r="K232" s="4">
        <f>IF($I232='Auto Responses'!$J$11,20,IF($I232='Auto Responses'!$J$13,5,10))</f>
        <v>10</v>
      </c>
      <c r="L232" s="107">
        <f>IF($E232='Auto Responses'!$L$13, 'Auto Responses'!$J$5,IF(AND($D232='Auto Responses'!$J$27,$H232=""),'Auto Responses'!$J$5,IF(AND($D232='Auto Responses'!$J$27,$H232='Auto Responses'!$J$7),1,IF(AND($D232='Auto Responses'!$J$27,$H232='Auto Responses'!$J$8),0,IF(OR(AND($F232=$G232,$H232=""),$H232='Auto Responses'!$J$7),1,0)))))</f>
        <v>0</v>
      </c>
      <c r="M232" s="4" t="str">
        <f>VLOOKUP($A232,'Institution Evaluation'!$A$56:$K$345,11,0)&amp;""</f>
        <v>FALSE</v>
      </c>
      <c r="N232" s="4">
        <f>IF($J232='Auto Responses'!$J$11,1,IF(AND($J232="",$I232='Auto Responses'!$J$11),1,0))</f>
        <v>0</v>
      </c>
      <c r="O232" s="107">
        <f>IF(OR($F$23='Auto Responses'!$J$4,$E232='Auto Responses'!$L$13,$F232='Auto Responses'!$J$5),'Auto Responses'!$J$5,IF($J232="",$K232,IF($J232='Auto Responses'!$J$13,5,IF($J232='Auto Responses'!$J$12,10,IF($J232='Auto Responses'!$J$11,20,0)))))</f>
        <v>10</v>
      </c>
      <c r="P232" s="107">
        <f>IF(OR($O232='Auto Responses'!$J$5,$L232='Auto Responses'!$J$5),'Auto Responses'!$J$5,$O232*$L232)</f>
        <v>0</v>
      </c>
      <c r="Q232" s="107">
        <f t="shared" si="21"/>
        <v>0</v>
      </c>
      <c r="R232" s="107">
        <f t="shared" si="26"/>
        <v>0</v>
      </c>
      <c r="S232" s="107">
        <f t="shared" si="22"/>
        <v>0</v>
      </c>
      <c r="T232" s="107">
        <f t="shared" si="23"/>
        <v>0</v>
      </c>
      <c r="U232" s="107">
        <f t="shared" si="27"/>
        <v>62</v>
      </c>
      <c r="V232" s="107">
        <f t="shared" si="24"/>
        <v>0</v>
      </c>
    </row>
    <row r="233" spans="1:22" ht="57" x14ac:dyDescent="0.2">
      <c r="A233" s="4" t="str">
        <f>Questions!$A233</f>
        <v>OPEM-06</v>
      </c>
      <c r="B233" s="4" t="str">
        <f t="shared" si="25"/>
        <v>OPEM</v>
      </c>
      <c r="C233" s="4" t="str">
        <f>VLOOKUP($A233,Questions!$A$3:$L$333,2,0)&amp;""</f>
        <v>If you maintain remote access to the system, will you handle data in a FERPA-compliant manner?</v>
      </c>
      <c r="D233" s="4" t="str">
        <f>VLOOKUP($A233,Questions!$A$3:$L$333,11,0)&amp;""</f>
        <v/>
      </c>
      <c r="E233" s="4" t="str">
        <f>VLOOKUP($A233,Questions!$A$3:$L$333,12,0)&amp;""</f>
        <v>Case-Specific</v>
      </c>
      <c r="F233" s="4" t="str">
        <f>VLOOKUP($A233,'Institution Evaluation'!$A$56:$K$345,3,0)&amp;""</f>
        <v/>
      </c>
      <c r="G233" s="4" t="str">
        <f>VLOOKUP($A233,'Institution Evaluation'!$A$56:$K$345,7,0)&amp;""</f>
        <v>Yes</v>
      </c>
      <c r="H233" s="4" t="str">
        <f>VLOOKUP($A233,'Institution Evaluation'!$A$56:$K$345,8,0)&amp;""</f>
        <v/>
      </c>
      <c r="I233" s="4" t="str">
        <f>VLOOKUP($A233,'Institution Evaluation'!$A$56:$K$345,9,0)&amp;""</f>
        <v>Standard Importance</v>
      </c>
      <c r="J233" s="4" t="str">
        <f>VLOOKUP($A233,'Institution Evaluation'!$A$56:$K$345,10,0)&amp;""</f>
        <v/>
      </c>
      <c r="K233" s="4">
        <f>IF($I233='Auto Responses'!$J$11,20,IF($I233='Auto Responses'!$J$13,5,10))</f>
        <v>10</v>
      </c>
      <c r="L233" s="107">
        <f>IF($E233='Auto Responses'!$L$13, 'Auto Responses'!$J$5,IF(AND($D233='Auto Responses'!$J$27,$H233=""),'Auto Responses'!$J$5,IF(AND($D233='Auto Responses'!$J$27,$H233='Auto Responses'!$J$7),1,IF(AND($D233='Auto Responses'!$J$27,$H233='Auto Responses'!$J$8),0,IF(OR(AND($F233=$G233,$H233=""),$H233='Auto Responses'!$J$7),1,0)))))</f>
        <v>0</v>
      </c>
      <c r="M233" s="4" t="str">
        <f>VLOOKUP($A233,'Institution Evaluation'!$A$56:$K$345,11,0)&amp;""</f>
        <v>FALSE</v>
      </c>
      <c r="N233" s="4">
        <f>IF($J233='Auto Responses'!$J$11,1,IF(AND($J233="",$I233='Auto Responses'!$J$11),1,0))</f>
        <v>0</v>
      </c>
      <c r="O233" s="107">
        <f>IF(OR($F$23='Auto Responses'!$J$4,$E233='Auto Responses'!$L$13,$F233='Auto Responses'!$J$5),'Auto Responses'!$J$5,IF($J233="",$K233,IF($J233='Auto Responses'!$J$13,5,IF($J233='Auto Responses'!$J$12,10,IF($J233='Auto Responses'!$J$11,20,0)))))</f>
        <v>10</v>
      </c>
      <c r="P233" s="107">
        <f>IF(OR($O233='Auto Responses'!$J$5,$L233='Auto Responses'!$J$5),'Auto Responses'!$J$5,$O233*$L233)</f>
        <v>0</v>
      </c>
      <c r="Q233" s="107">
        <f t="shared" si="21"/>
        <v>0</v>
      </c>
      <c r="R233" s="107">
        <f t="shared" si="26"/>
        <v>0</v>
      </c>
      <c r="S233" s="107">
        <f t="shared" si="22"/>
        <v>0</v>
      </c>
      <c r="T233" s="107">
        <f t="shared" si="23"/>
        <v>0</v>
      </c>
      <c r="U233" s="107">
        <f t="shared" si="27"/>
        <v>62</v>
      </c>
      <c r="V233" s="107">
        <f t="shared" si="24"/>
        <v>0</v>
      </c>
    </row>
    <row r="234" spans="1:22" ht="57" x14ac:dyDescent="0.2">
      <c r="A234" s="4" t="str">
        <f>Questions!$A234</f>
        <v>OPEM-07</v>
      </c>
      <c r="B234" s="4" t="str">
        <f t="shared" si="25"/>
        <v>OPEM</v>
      </c>
      <c r="C234" s="4" t="str">
        <f>VLOOKUP($A234,Questions!$A$3:$L$333,2,0)&amp;""</f>
        <v>Do you support campus status monitoring through SNMPv3 or other means?</v>
      </c>
      <c r="D234" s="4" t="str">
        <f>VLOOKUP($A234,Questions!$A$3:$L$333,11,0)&amp;""</f>
        <v/>
      </c>
      <c r="E234" s="4" t="str">
        <f>VLOOKUP($A234,Questions!$A$3:$L$333,12,0)&amp;""</f>
        <v>Case-Specific</v>
      </c>
      <c r="F234" s="4" t="str">
        <f>VLOOKUP($A234,'Institution Evaluation'!$A$56:$K$345,3,0)&amp;""</f>
        <v/>
      </c>
      <c r="G234" s="4" t="str">
        <f>VLOOKUP($A234,'Institution Evaluation'!$A$56:$K$345,7,0)&amp;""</f>
        <v>Yes</v>
      </c>
      <c r="H234" s="4" t="str">
        <f>VLOOKUP($A234,'Institution Evaluation'!$A$56:$K$345,8,0)&amp;""</f>
        <v/>
      </c>
      <c r="I234" s="4" t="str">
        <f>VLOOKUP($A234,'Institution Evaluation'!$A$56:$K$345,9,0)&amp;""</f>
        <v>Standard Importance</v>
      </c>
      <c r="J234" s="4" t="str">
        <f>VLOOKUP($A234,'Institution Evaluation'!$A$56:$K$345,10,0)&amp;""</f>
        <v/>
      </c>
      <c r="K234" s="4">
        <f>IF($I234='Auto Responses'!$J$11,20,IF($I234='Auto Responses'!$J$13,5,10))</f>
        <v>10</v>
      </c>
      <c r="L234" s="107">
        <f>IF($E234='Auto Responses'!$L$13, 'Auto Responses'!$J$5,IF(AND($D234='Auto Responses'!$J$27,$H234=""),'Auto Responses'!$J$5,IF(AND($D234='Auto Responses'!$J$27,$H234='Auto Responses'!$J$7),1,IF(AND($D234='Auto Responses'!$J$27,$H234='Auto Responses'!$J$8),0,IF(OR(AND($F234=$G234,$H234=""),$H234='Auto Responses'!$J$7),1,0)))))</f>
        <v>0</v>
      </c>
      <c r="M234" s="4" t="str">
        <f>VLOOKUP($A234,'Institution Evaluation'!$A$56:$K$345,11,0)&amp;""</f>
        <v>FALSE</v>
      </c>
      <c r="N234" s="4">
        <f>IF($J234='Auto Responses'!$J$11,1,IF(AND($J234="",$I234='Auto Responses'!$J$11),1,0))</f>
        <v>0</v>
      </c>
      <c r="O234" s="107">
        <f>IF(OR($F$23='Auto Responses'!$J$4,$E234='Auto Responses'!$L$13,$F234='Auto Responses'!$J$5),'Auto Responses'!$J$5,IF($J234="",$K234,IF($J234='Auto Responses'!$J$13,5,IF($J234='Auto Responses'!$J$12,10,IF($J234='Auto Responses'!$J$11,20,0)))))</f>
        <v>10</v>
      </c>
      <c r="P234" s="107">
        <f>IF(OR($O234='Auto Responses'!$J$5,$L234='Auto Responses'!$J$5),'Auto Responses'!$J$5,$O234*$L234)</f>
        <v>0</v>
      </c>
      <c r="Q234" s="107">
        <f t="shared" si="21"/>
        <v>0</v>
      </c>
      <c r="R234" s="107">
        <f t="shared" si="26"/>
        <v>0</v>
      </c>
      <c r="S234" s="107">
        <f t="shared" si="22"/>
        <v>0</v>
      </c>
      <c r="T234" s="107">
        <f t="shared" si="23"/>
        <v>0</v>
      </c>
      <c r="U234" s="107">
        <f t="shared" si="27"/>
        <v>62</v>
      </c>
      <c r="V234" s="107">
        <f t="shared" si="24"/>
        <v>0</v>
      </c>
    </row>
    <row r="235" spans="1:22" ht="57" x14ac:dyDescent="0.2">
      <c r="A235" s="4" t="str">
        <f>Questions!$A235</f>
        <v>OPEM-08</v>
      </c>
      <c r="B235" s="4" t="str">
        <f t="shared" si="25"/>
        <v>OPEM</v>
      </c>
      <c r="C235" s="4" t="str">
        <f>VLOOKUP($A235,Questions!$A$3:$L$333,2,0)&amp;""</f>
        <v>Describe or provide a reference to any other safeguards used to monitor for malicious activity.</v>
      </c>
      <c r="D235" s="4" t="str">
        <f>VLOOKUP($A235,Questions!$A$3:$L$333,11,0)&amp;""</f>
        <v/>
      </c>
      <c r="E235" s="4" t="str">
        <f>VLOOKUP($A235,Questions!$A$3:$L$333,12,0)&amp;""</f>
        <v>Not scored</v>
      </c>
      <c r="F235" s="4" t="str">
        <f>VLOOKUP($A235,'Institution Evaluation'!$A$56:$K$345,3,0)&amp;""</f>
        <v/>
      </c>
      <c r="G235" s="4" t="str">
        <f>VLOOKUP($A235,'Institution Evaluation'!$A$56:$K$345,7,0)&amp;""</f>
        <v>Not scored</v>
      </c>
      <c r="H235" s="4" t="str">
        <f>VLOOKUP($A235,'Institution Evaluation'!$A$56:$K$345,8,0)&amp;""</f>
        <v/>
      </c>
      <c r="I235" s="4" t="str">
        <f>VLOOKUP($A235,'Institution Evaluation'!$A$56:$K$345,9,0)&amp;""</f>
        <v/>
      </c>
      <c r="J235" s="4" t="str">
        <f>VLOOKUP($A235,'Institution Evaluation'!$A$56:$K$345,10,0)&amp;""</f>
        <v/>
      </c>
      <c r="K235" s="4">
        <f>IF($I235='Auto Responses'!$J$11,20,IF($I235='Auto Responses'!$J$13,5,10))</f>
        <v>10</v>
      </c>
      <c r="L235" s="107" t="str">
        <f>IF($E235='Auto Responses'!$L$13, 'Auto Responses'!$J$5,IF(AND($D235='Auto Responses'!$J$27,$H235=""),'Auto Responses'!$J$5,IF(AND($D235='Auto Responses'!$J$27,$H235='Auto Responses'!$J$7),1,IF(AND($D235='Auto Responses'!$J$27,$H235='Auto Responses'!$J$8),0,IF(OR(AND($F235=$G235,$H235=""),$H235='Auto Responses'!$J$7),1,0)))))</f>
        <v>N/A</v>
      </c>
      <c r="M235" s="4" t="str">
        <f>VLOOKUP($A235,'Institution Evaluation'!$A$56:$K$345,11,0)&amp;""</f>
        <v>FALSE</v>
      </c>
      <c r="N235" s="4">
        <f>IF($J235='Auto Responses'!$J$11,1,IF(AND($J235="",$I235='Auto Responses'!$J$11),1,0))</f>
        <v>0</v>
      </c>
      <c r="O235" s="107" t="str">
        <f>IF(OR($F$23='Auto Responses'!$J$4,$E235='Auto Responses'!$L$13,$F235='Auto Responses'!$J$5),'Auto Responses'!$J$5,IF($J235="",$K235,IF($J235='Auto Responses'!$J$13,5,IF($J235='Auto Responses'!$J$12,10,IF($J235='Auto Responses'!$J$11,20,0)))))</f>
        <v>N/A</v>
      </c>
      <c r="P235" s="107" t="str">
        <f>IF(OR($O235='Auto Responses'!$J$5,$L235='Auto Responses'!$J$5),'Auto Responses'!$J$5,$O235*$L235)</f>
        <v>N/A</v>
      </c>
      <c r="Q235" s="107">
        <f t="shared" si="21"/>
        <v>0</v>
      </c>
      <c r="R235" s="107">
        <f t="shared" si="26"/>
        <v>0</v>
      </c>
      <c r="S235" s="107">
        <f t="shared" si="22"/>
        <v>0</v>
      </c>
      <c r="T235" s="107">
        <f t="shared" si="23"/>
        <v>0</v>
      </c>
      <c r="U235" s="107">
        <f t="shared" si="27"/>
        <v>62</v>
      </c>
      <c r="V235" s="107">
        <f t="shared" si="24"/>
        <v>0</v>
      </c>
    </row>
    <row r="236" spans="1:22" ht="57" x14ac:dyDescent="0.2">
      <c r="A236" s="4" t="str">
        <f>Questions!$A236</f>
        <v>OPEM-09</v>
      </c>
      <c r="B236" s="4" t="str">
        <f t="shared" si="25"/>
        <v>OPEM</v>
      </c>
      <c r="C236" s="4" t="str">
        <f>VLOOKUP($A236,Questions!$A$3:$L$333,2,0)&amp;""</f>
        <v>Describe how long your organization has conducted business in this area.</v>
      </c>
      <c r="D236" s="4" t="str">
        <f>VLOOKUP($A236,Questions!$A$3:$L$333,11,0)&amp;""</f>
        <v/>
      </c>
      <c r="E236" s="4" t="str">
        <f>VLOOKUP($A236,Questions!$A$3:$L$333,12,0)&amp;""</f>
        <v>Not scored</v>
      </c>
      <c r="F236" s="4" t="str">
        <f>VLOOKUP($A236,'Institution Evaluation'!$A$56:$K$345,3,0)&amp;""</f>
        <v/>
      </c>
      <c r="G236" s="4" t="str">
        <f>VLOOKUP($A236,'Institution Evaluation'!$A$56:$K$345,7,0)&amp;""</f>
        <v>Not scored</v>
      </c>
      <c r="H236" s="4" t="str">
        <f>VLOOKUP($A236,'Institution Evaluation'!$A$56:$K$345,8,0)&amp;""</f>
        <v/>
      </c>
      <c r="I236" s="4" t="str">
        <f>VLOOKUP($A236,'Institution Evaluation'!$A$56:$K$345,9,0)&amp;""</f>
        <v/>
      </c>
      <c r="J236" s="4" t="str">
        <f>VLOOKUP($A236,'Institution Evaluation'!$A$56:$K$345,10,0)&amp;""</f>
        <v/>
      </c>
      <c r="K236" s="4">
        <f>IF($I236='Auto Responses'!$J$11,20,IF($I236='Auto Responses'!$J$13,5,10))</f>
        <v>10</v>
      </c>
      <c r="L236" s="107" t="str">
        <f>IF($E236='Auto Responses'!$L$13, 'Auto Responses'!$J$5,IF(AND($D236='Auto Responses'!$J$27,$H236=""),'Auto Responses'!$J$5,IF(AND($D236='Auto Responses'!$J$27,$H236='Auto Responses'!$J$7),1,IF(AND($D236='Auto Responses'!$J$27,$H236='Auto Responses'!$J$8),0,IF(OR(AND($F236=$G236,$H236=""),$H236='Auto Responses'!$J$7),1,0)))))</f>
        <v>N/A</v>
      </c>
      <c r="M236" s="4" t="str">
        <f>VLOOKUP($A236,'Institution Evaluation'!$A$56:$K$345,11,0)&amp;""</f>
        <v>FALSE</v>
      </c>
      <c r="N236" s="4">
        <f>IF($J236='Auto Responses'!$J$11,1,IF(AND($J236="",$I236='Auto Responses'!$J$11),1,0))</f>
        <v>0</v>
      </c>
      <c r="O236" s="107" t="str">
        <f>IF(OR($F$23='Auto Responses'!$J$4,$E236='Auto Responses'!$L$13,$F236='Auto Responses'!$J$5),'Auto Responses'!$J$5,IF($J236="",$K236,IF($J236='Auto Responses'!$J$13,5,IF($J236='Auto Responses'!$J$12,10,IF($J236='Auto Responses'!$J$11,20,0)))))</f>
        <v>N/A</v>
      </c>
      <c r="P236" s="107" t="str">
        <f>IF(OR($O236='Auto Responses'!$J$5,$L236='Auto Responses'!$J$5),'Auto Responses'!$J$5,$O236*$L236)</f>
        <v>N/A</v>
      </c>
      <c r="Q236" s="107">
        <f t="shared" si="21"/>
        <v>0</v>
      </c>
      <c r="R236" s="107">
        <f t="shared" si="26"/>
        <v>0</v>
      </c>
      <c r="S236" s="107">
        <f t="shared" si="22"/>
        <v>0</v>
      </c>
      <c r="T236" s="107">
        <f t="shared" si="23"/>
        <v>0</v>
      </c>
      <c r="U236" s="107">
        <f t="shared" si="27"/>
        <v>62</v>
      </c>
      <c r="V236" s="107">
        <f t="shared" si="24"/>
        <v>0</v>
      </c>
    </row>
    <row r="237" spans="1:22" ht="57" x14ac:dyDescent="0.2">
      <c r="A237" s="4" t="str">
        <f>Questions!$A237</f>
        <v>OPEM-10</v>
      </c>
      <c r="B237" s="4" t="str">
        <f t="shared" si="25"/>
        <v>OPEM</v>
      </c>
      <c r="C237" s="4" t="str">
        <f>VLOOKUP($A237,Questions!$A$3:$L$333,2,0)&amp;""</f>
        <v>Do you have existing higher education customers?</v>
      </c>
      <c r="D237" s="4" t="str">
        <f>VLOOKUP($A237,Questions!$A$3:$L$333,11,0)&amp;""</f>
        <v/>
      </c>
      <c r="E237" s="4" t="str">
        <f>VLOOKUP($A237,Questions!$A$3:$L$333,12,0)&amp;""</f>
        <v>Case-Specific</v>
      </c>
      <c r="F237" s="4" t="str">
        <f>VLOOKUP($A237,'Institution Evaluation'!$A$56:$K$345,3,0)&amp;""</f>
        <v/>
      </c>
      <c r="G237" s="4" t="str">
        <f>VLOOKUP($A237,'Institution Evaluation'!$A$56:$K$345,7,0)&amp;""</f>
        <v>Yes</v>
      </c>
      <c r="H237" s="4" t="str">
        <f>VLOOKUP($A237,'Institution Evaluation'!$A$56:$K$345,8,0)&amp;""</f>
        <v/>
      </c>
      <c r="I237" s="4" t="str">
        <f>VLOOKUP($A237,'Institution Evaluation'!$A$56:$K$345,9,0)&amp;""</f>
        <v>Minor Importance</v>
      </c>
      <c r="J237" s="4" t="str">
        <f>VLOOKUP($A237,'Institution Evaluation'!$A$56:$K$345,10,0)&amp;""</f>
        <v/>
      </c>
      <c r="K237" s="4">
        <f>IF($I237='Auto Responses'!$J$11,20,IF($I237='Auto Responses'!$J$13,5,10))</f>
        <v>5</v>
      </c>
      <c r="L237" s="107">
        <f>IF($E237='Auto Responses'!$L$13, 'Auto Responses'!$J$5,IF(AND($D237='Auto Responses'!$J$27,$H237=""),'Auto Responses'!$J$5,IF(AND($D237='Auto Responses'!$J$27,$H237='Auto Responses'!$J$7),1,IF(AND($D237='Auto Responses'!$J$27,$H237='Auto Responses'!$J$8),0,IF(OR(AND($F237=$G237,$H237=""),$H237='Auto Responses'!$J$7),1,0)))))</f>
        <v>0</v>
      </c>
      <c r="M237" s="4" t="str">
        <f>VLOOKUP($A237,'Institution Evaluation'!$A$56:$K$345,11,0)&amp;""</f>
        <v>FALSE</v>
      </c>
      <c r="N237" s="4">
        <f>IF($J237='Auto Responses'!$J$11,1,IF(AND($J237="",$I237='Auto Responses'!$J$11),1,0))</f>
        <v>0</v>
      </c>
      <c r="O237" s="107">
        <f>IF(OR($F$23='Auto Responses'!$J$4,$E237='Auto Responses'!$L$13,$F237='Auto Responses'!$J$5),'Auto Responses'!$J$5,IF($J237="",$K237,IF($J237='Auto Responses'!$J$13,5,IF($J237='Auto Responses'!$J$12,10,IF($J237='Auto Responses'!$J$11,20,0)))))</f>
        <v>5</v>
      </c>
      <c r="P237" s="107">
        <f>IF(OR($O237='Auto Responses'!$J$5,$L237='Auto Responses'!$J$5),'Auto Responses'!$J$5,$O237*$L237)</f>
        <v>0</v>
      </c>
      <c r="Q237" s="107">
        <f t="shared" ref="Q237" si="28">IF(M237="TRUE",1,0)</f>
        <v>0</v>
      </c>
      <c r="R237" s="107">
        <f t="shared" si="26"/>
        <v>0</v>
      </c>
      <c r="S237" s="107">
        <f t="shared" ref="S237" si="29">IF(Q237=0,0,R237)</f>
        <v>0</v>
      </c>
      <c r="T237" s="107">
        <f t="shared" ref="T237" si="30">IF(N237=1,1,0)</f>
        <v>0</v>
      </c>
      <c r="U237" s="107">
        <f t="shared" si="27"/>
        <v>62</v>
      </c>
      <c r="V237" s="107">
        <f t="shared" ref="V237" si="31">IF(T237=0,0,U237)</f>
        <v>0</v>
      </c>
    </row>
    <row r="238" spans="1:22" ht="57" x14ac:dyDescent="0.2">
      <c r="A238" s="4" t="str">
        <f>Questions!$A238</f>
        <v>PRGN-01</v>
      </c>
      <c r="B238" s="4" t="str">
        <f t="shared" si="25"/>
        <v>PRGN</v>
      </c>
      <c r="C238" s="4" t="str">
        <f>VLOOKUP($A238,Questions!$A$3:$L$333,2,0)&amp;""</f>
        <v>Does your solution process FERPA-related data?</v>
      </c>
      <c r="D238" s="4" t="str">
        <f>VLOOKUP($A238,Questions!$A$3:$L$333,11,0)&amp;""</f>
        <v>NA</v>
      </c>
      <c r="E238" s="4" t="str">
        <f>VLOOKUP($A238,Questions!$A$3:$L$333,12,0)&amp;""</f>
        <v>Not scored</v>
      </c>
      <c r="F238" s="4" t="str">
        <f>VLOOKUP($A238,'Privacy Analyst Evaluation'!$A$46:$K$120,3,0)&amp;""</f>
        <v/>
      </c>
      <c r="G238" s="4" t="str">
        <f>VLOOKUP($A238,'Privacy Analyst Evaluation'!$A$46:$K$120,7,0)&amp;""</f>
        <v>Not scored</v>
      </c>
      <c r="H238" s="4" t="str">
        <f>VLOOKUP($A238,'Privacy Analyst Evaluation'!$A$46:$K$120,8,0)&amp;""</f>
        <v/>
      </c>
      <c r="I238" s="4" t="str">
        <f>VLOOKUP($A238,'Privacy Analyst Evaluation'!$A$46:$K$120,9,0)&amp;""</f>
        <v/>
      </c>
      <c r="J238" s="4" t="str">
        <f>VLOOKUP($A238,'Privacy Analyst Evaluation'!$A$46:$K$120,10,0)&amp;""</f>
        <v/>
      </c>
      <c r="K238" s="4">
        <f>IF($I238='Auto Responses'!$J$11,20,IF($I238='Auto Responses'!$J$13,5,10))</f>
        <v>10</v>
      </c>
      <c r="L238" s="107" t="str">
        <f>IF($E238='Auto Responses'!$L$13, 'Auto Responses'!$J$5,IF(AND($D238='Auto Responses'!$J$27,$H238=""),'Auto Responses'!$J$5,IF(AND($D238='Auto Responses'!$J$27,$H238='Auto Responses'!$J$7),1,IF(AND($D238='Auto Responses'!$J$27,$H238='Auto Responses'!$J$8),0,IF(OR(AND($F238=$G238,$H238=""),$H238='Auto Responses'!$J$7),1,0)))))</f>
        <v>N/A</v>
      </c>
      <c r="M238" s="4" t="str">
        <f>VLOOKUP($A238,'Privacy Analyst Evaluation'!$A$46:$K$120,11,0)&amp;""</f>
        <v>FALSE</v>
      </c>
      <c r="N238" s="4">
        <f>IF($J238='Auto Responses'!$J$11,1,IF(AND($J238="",$I238='Auto Responses'!$J$11),1,0))</f>
        <v>0</v>
      </c>
      <c r="O238" s="107" t="str">
        <f>IF(OR($E238='Auto Responses'!$L$13,$F$24='Auto Responses'!$J$4,$F238='Auto Responses'!$J$5),'Auto Responses'!$J$5,IF($J238="",$K238,IF($J238='Auto Responses'!$J$13,5,IF($J238='Auto Responses'!$J$12,10,IF($J238='Auto Responses'!$J$11,20,0)))))</f>
        <v>N/A</v>
      </c>
      <c r="P238" s="107" t="str">
        <f>IF(OR($O238='Auto Responses'!$J$5,$L238='Auto Responses'!$J$5),'Auto Responses'!$J$5,$O238*$L238)</f>
        <v>N/A</v>
      </c>
      <c r="Q238" s="107">
        <f t="shared" si="21"/>
        <v>0</v>
      </c>
      <c r="R238" s="107">
        <f t="shared" si="26"/>
        <v>0</v>
      </c>
      <c r="S238" s="107">
        <f t="shared" si="22"/>
        <v>0</v>
      </c>
      <c r="T238" s="107">
        <f t="shared" si="23"/>
        <v>0</v>
      </c>
      <c r="U238" s="107">
        <f t="shared" si="27"/>
        <v>62</v>
      </c>
      <c r="V238" s="107">
        <f t="shared" si="24"/>
        <v>0</v>
      </c>
    </row>
    <row r="239" spans="1:22" ht="57" x14ac:dyDescent="0.2">
      <c r="A239" s="4" t="str">
        <f>Questions!$A239</f>
        <v>PRGN-02</v>
      </c>
      <c r="B239" s="4" t="str">
        <f t="shared" si="25"/>
        <v>PRGN</v>
      </c>
      <c r="C239" s="4" t="str">
        <f>VLOOKUP($A239,Questions!$A$3:$L$333,2,0)&amp;""</f>
        <v>Does your solution process GDPR-related or PIPL-related data?</v>
      </c>
      <c r="D239" s="4" t="str">
        <f>VLOOKUP($A239,Questions!$A$3:$L$333,11,0)&amp;""</f>
        <v>NA</v>
      </c>
      <c r="E239" s="4" t="str">
        <f>VLOOKUP($A239,Questions!$A$3:$L$333,12,0)&amp;""</f>
        <v>Not scored</v>
      </c>
      <c r="F239" s="4" t="str">
        <f>VLOOKUP($A239,'Privacy Analyst Evaluation'!$A$46:$K$120,3,0)&amp;""</f>
        <v/>
      </c>
      <c r="G239" s="4" t="str">
        <f>VLOOKUP($A239,'Privacy Analyst Evaluation'!$A$46:$K$120,7,0)&amp;""</f>
        <v>Not scored</v>
      </c>
      <c r="H239" s="4" t="str">
        <f>VLOOKUP($A239,'Privacy Analyst Evaluation'!$A$46:$K$120,8,0)&amp;""</f>
        <v/>
      </c>
      <c r="I239" s="4" t="str">
        <f>VLOOKUP($A239,'Privacy Analyst Evaluation'!$A$46:$K$120,9,0)&amp;""</f>
        <v/>
      </c>
      <c r="J239" s="4" t="str">
        <f>VLOOKUP($A239,'Privacy Analyst Evaluation'!$A$46:$K$120,10,0)&amp;""</f>
        <v/>
      </c>
      <c r="K239" s="4">
        <f>IF($I239='Auto Responses'!$J$11,20,IF($I239='Auto Responses'!$J$13,5,10))</f>
        <v>10</v>
      </c>
      <c r="L239" s="107" t="str">
        <f>IF($E239='Auto Responses'!$L$13, 'Auto Responses'!$J$5,IF(AND($D239='Auto Responses'!$J$27,$H239=""),'Auto Responses'!$J$5,IF(AND($D239='Auto Responses'!$J$27,$H239='Auto Responses'!$J$7),1,IF(AND($D239='Auto Responses'!$J$27,$H239='Auto Responses'!$J$8),0,IF(OR(AND($F239=$G239,$H239=""),$H239='Auto Responses'!$J$7),1,0)))))</f>
        <v>N/A</v>
      </c>
      <c r="M239" s="4" t="str">
        <f>VLOOKUP($A239,'Privacy Analyst Evaluation'!$A$46:$K$120,11,0)&amp;""</f>
        <v>FALSE</v>
      </c>
      <c r="N239" s="4">
        <f>IF($J239='Auto Responses'!$J$11,1,IF(AND($J239="",$I239='Auto Responses'!$J$11),1,0))</f>
        <v>0</v>
      </c>
      <c r="O239" s="107" t="str">
        <f>IF(OR($E239='Auto Responses'!$L$13,$F$24='Auto Responses'!$J$4,$F239='Auto Responses'!$J$5),'Auto Responses'!$J$5,IF($J239="",$K239,IF($J239='Auto Responses'!$J$13,5,IF($J239='Auto Responses'!$J$12,10,IF($J239='Auto Responses'!$J$11,20,0)))))</f>
        <v>N/A</v>
      </c>
      <c r="P239" s="107" t="str">
        <f>IF(OR($O239='Auto Responses'!$J$5,$L239='Auto Responses'!$J$5),'Auto Responses'!$J$5,$O239*$L239)</f>
        <v>N/A</v>
      </c>
      <c r="Q239" s="107">
        <f t="shared" si="21"/>
        <v>0</v>
      </c>
      <c r="R239" s="107">
        <f t="shared" si="26"/>
        <v>0</v>
      </c>
      <c r="S239" s="107">
        <f t="shared" si="22"/>
        <v>0</v>
      </c>
      <c r="T239" s="107">
        <f t="shared" si="23"/>
        <v>0</v>
      </c>
      <c r="U239" s="107">
        <f t="shared" si="27"/>
        <v>62</v>
      </c>
      <c r="V239" s="107">
        <f t="shared" si="24"/>
        <v>0</v>
      </c>
    </row>
    <row r="240" spans="1:22" ht="57" x14ac:dyDescent="0.2">
      <c r="A240" s="4" t="str">
        <f>Questions!$A240</f>
        <v>PRGN-03</v>
      </c>
      <c r="B240" s="4" t="str">
        <f t="shared" si="25"/>
        <v>PRGN</v>
      </c>
      <c r="C240" s="4" t="str">
        <f>VLOOKUP($A240,Questions!$A$3:$L$333,2,0)&amp;""</f>
        <v>Does your solution process personal data regulated by state law(s) (e.g., CCPA)?</v>
      </c>
      <c r="D240" s="4" t="str">
        <f>VLOOKUP($A240,Questions!$A$3:$L$333,11,0)&amp;""</f>
        <v>NA</v>
      </c>
      <c r="E240" s="4" t="str">
        <f>VLOOKUP($A240,Questions!$A$3:$L$333,12,0)&amp;""</f>
        <v>Not scored</v>
      </c>
      <c r="F240" s="4" t="str">
        <f>VLOOKUP($A240,'Privacy Analyst Evaluation'!$A$46:$K$120,3,0)&amp;""</f>
        <v/>
      </c>
      <c r="G240" s="4" t="str">
        <f>VLOOKUP($A240,'Privacy Analyst Evaluation'!$A$46:$K$120,7,0)&amp;""</f>
        <v>Not scored</v>
      </c>
      <c r="H240" s="4" t="str">
        <f>VLOOKUP($A240,'Privacy Analyst Evaluation'!$A$46:$K$120,8,0)&amp;""</f>
        <v/>
      </c>
      <c r="I240" s="4" t="str">
        <f>VLOOKUP($A240,'Privacy Analyst Evaluation'!$A$46:$K$120,9,0)&amp;""</f>
        <v/>
      </c>
      <c r="J240" s="4" t="str">
        <f>VLOOKUP($A240,'Privacy Analyst Evaluation'!$A$46:$K$120,10,0)&amp;""</f>
        <v/>
      </c>
      <c r="K240" s="4">
        <f>IF($I240='Auto Responses'!$J$11,20,IF($I240='Auto Responses'!$J$13,5,10))</f>
        <v>10</v>
      </c>
      <c r="L240" s="107" t="str">
        <f>IF($E240='Auto Responses'!$L$13, 'Auto Responses'!$J$5,IF(AND($D240='Auto Responses'!$J$27,$H240=""),'Auto Responses'!$J$5,IF(AND($D240='Auto Responses'!$J$27,$H240='Auto Responses'!$J$7),1,IF(AND($D240='Auto Responses'!$J$27,$H240='Auto Responses'!$J$8),0,IF(OR(AND($F240=$G240,$H240=""),$H240='Auto Responses'!$J$7),1,0)))))</f>
        <v>N/A</v>
      </c>
      <c r="M240" s="4" t="str">
        <f>VLOOKUP($A240,'Privacy Analyst Evaluation'!$A$46:$K$120,11,0)&amp;""</f>
        <v>FALSE</v>
      </c>
      <c r="N240" s="4">
        <f>IF($J240='Auto Responses'!$J$11,1,IF(AND($J240="",$I240='Auto Responses'!$J$11),1,0))</f>
        <v>0</v>
      </c>
      <c r="O240" s="107" t="str">
        <f>IF(OR($E240='Auto Responses'!$L$13,$F$24='Auto Responses'!$J$4,$F240='Auto Responses'!$J$5),'Auto Responses'!$J$5,IF($J240="",$K240,IF($J240='Auto Responses'!$J$13,5,IF($J240='Auto Responses'!$J$12,10,IF($J240='Auto Responses'!$J$11,20,0)))))</f>
        <v>N/A</v>
      </c>
      <c r="P240" s="107" t="str">
        <f>IF(OR($O240='Auto Responses'!$J$5,$L240='Auto Responses'!$J$5),'Auto Responses'!$J$5,$O240*$L240)</f>
        <v>N/A</v>
      </c>
      <c r="Q240" s="107">
        <f t="shared" si="21"/>
        <v>0</v>
      </c>
      <c r="R240" s="107">
        <f t="shared" si="26"/>
        <v>0</v>
      </c>
      <c r="S240" s="107">
        <f t="shared" si="22"/>
        <v>0</v>
      </c>
      <c r="T240" s="107">
        <f t="shared" si="23"/>
        <v>0</v>
      </c>
      <c r="U240" s="107">
        <f t="shared" si="27"/>
        <v>62</v>
      </c>
      <c r="V240" s="107">
        <f t="shared" si="24"/>
        <v>0</v>
      </c>
    </row>
    <row r="241" spans="1:22" ht="57" x14ac:dyDescent="0.2">
      <c r="A241" s="4" t="str">
        <f>Questions!$A241</f>
        <v>PRGN-04</v>
      </c>
      <c r="B241" s="4" t="str">
        <f t="shared" si="25"/>
        <v>PRGN</v>
      </c>
      <c r="C241" s="4" t="str">
        <f>VLOOKUP($A241,Questions!$A$3:$L$333,2,0)&amp;""</f>
        <v>Does your solution process user-provided data that may contain regulated information?</v>
      </c>
      <c r="D241" s="4" t="str">
        <f>VLOOKUP($A241,Questions!$A$3:$L$333,11,0)&amp;""</f>
        <v>NA</v>
      </c>
      <c r="E241" s="4" t="str">
        <f>VLOOKUP($A241,Questions!$A$3:$L$333,12,0)&amp;""</f>
        <v>Not scored</v>
      </c>
      <c r="F241" s="4" t="str">
        <f>VLOOKUP($A241,'Privacy Analyst Evaluation'!$A$46:$K$120,3,0)&amp;""</f>
        <v/>
      </c>
      <c r="G241" s="4" t="str">
        <f>VLOOKUP($A241,'Privacy Analyst Evaluation'!$A$46:$K$120,7,0)&amp;""</f>
        <v>Not scored</v>
      </c>
      <c r="H241" s="4" t="str">
        <f>VLOOKUP($A241,'Privacy Analyst Evaluation'!$A$46:$K$120,8,0)&amp;""</f>
        <v/>
      </c>
      <c r="I241" s="4" t="str">
        <f>VLOOKUP($A241,'Privacy Analyst Evaluation'!$A$46:$K$120,9,0)&amp;""</f>
        <v/>
      </c>
      <c r="J241" s="4" t="str">
        <f>VLOOKUP($A241,'Privacy Analyst Evaluation'!$A$46:$K$120,10,0)&amp;""</f>
        <v/>
      </c>
      <c r="K241" s="4">
        <f>IF($I241='Auto Responses'!$J$11,20,IF($I241='Auto Responses'!$J$13,5,10))</f>
        <v>10</v>
      </c>
      <c r="L241" s="107" t="str">
        <f>IF($E241='Auto Responses'!$L$13, 'Auto Responses'!$J$5,IF(AND($D241='Auto Responses'!$J$27,$H241=""),'Auto Responses'!$J$5,IF(AND($D241='Auto Responses'!$J$27,$H241='Auto Responses'!$J$7),1,IF(AND($D241='Auto Responses'!$J$27,$H241='Auto Responses'!$J$8),0,IF(OR(AND($F241=$G241,$H241=""),$H241='Auto Responses'!$J$7),1,0)))))</f>
        <v>N/A</v>
      </c>
      <c r="M241" s="4" t="str">
        <f>VLOOKUP($A241,'Privacy Analyst Evaluation'!$A$46:$K$120,11,0)&amp;""</f>
        <v>FALSE</v>
      </c>
      <c r="N241" s="4">
        <f>IF($J241='Auto Responses'!$J$11,1,IF(AND($J241="",$I241='Auto Responses'!$J$11),1,0))</f>
        <v>0</v>
      </c>
      <c r="O241" s="107" t="str">
        <f>IF(OR($E241='Auto Responses'!$L$13,$F$24='Auto Responses'!$J$4,$F241='Auto Responses'!$J$5),'Auto Responses'!$J$5,IF($J241="",$K241,IF($J241='Auto Responses'!$J$13,5,IF($J241='Auto Responses'!$J$12,10,IF($J241='Auto Responses'!$J$11,20,0)))))</f>
        <v>N/A</v>
      </c>
      <c r="P241" s="107" t="str">
        <f>IF(OR($O241='Auto Responses'!$J$5,$L241='Auto Responses'!$J$5),'Auto Responses'!$J$5,$O241*$L241)</f>
        <v>N/A</v>
      </c>
      <c r="Q241" s="107">
        <f t="shared" si="21"/>
        <v>0</v>
      </c>
      <c r="R241" s="107">
        <f t="shared" si="26"/>
        <v>0</v>
      </c>
      <c r="S241" s="107">
        <f t="shared" si="22"/>
        <v>0</v>
      </c>
      <c r="T241" s="107">
        <f t="shared" si="23"/>
        <v>0</v>
      </c>
      <c r="U241" s="107">
        <f t="shared" si="27"/>
        <v>62</v>
      </c>
      <c r="V241" s="107">
        <f t="shared" si="24"/>
        <v>0</v>
      </c>
    </row>
    <row r="242" spans="1:22" ht="57" x14ac:dyDescent="0.2">
      <c r="A242" s="4" t="str">
        <f>Questions!$A242</f>
        <v>PRGN-05</v>
      </c>
      <c r="B242" s="4" t="str">
        <f t="shared" si="25"/>
        <v>PRGN</v>
      </c>
      <c r="C242" s="4" t="str">
        <f>VLOOKUP($A242,Questions!$A$3:$L$333,2,0)&amp;""</f>
        <v>Web Link to Product/Service Privacy Notice</v>
      </c>
      <c r="D242" s="4" t="str">
        <f>VLOOKUP($A242,Questions!$A$3:$L$333,11,0)&amp;""</f>
        <v/>
      </c>
      <c r="E242" s="4" t="str">
        <f>VLOOKUP($A242,Questions!$A$3:$L$333,12,0)&amp;""</f>
        <v>Not scored</v>
      </c>
      <c r="F242" s="4" t="str">
        <f>VLOOKUP($A242,'Privacy Analyst Evaluation'!$A$46:$K$120,3,0)&amp;""</f>
        <v/>
      </c>
      <c r="G242" s="4" t="str">
        <f>VLOOKUP($A242,'Privacy Analyst Evaluation'!$A$46:$K$120,7,0)&amp;""</f>
        <v>Not scored</v>
      </c>
      <c r="H242" s="4" t="str">
        <f>VLOOKUP($A242,'Privacy Analyst Evaluation'!$A$46:$K$120,8,0)&amp;""</f>
        <v/>
      </c>
      <c r="I242" s="4" t="str">
        <f>VLOOKUP($A242,'Privacy Analyst Evaluation'!$A$46:$K$120,9,0)&amp;""</f>
        <v/>
      </c>
      <c r="J242" s="4" t="str">
        <f>VLOOKUP($A242,'Privacy Analyst Evaluation'!$A$46:$K$120,10,0)&amp;""</f>
        <v/>
      </c>
      <c r="K242" s="4">
        <f>IF($I242='Auto Responses'!$J$11,20,IF($I242='Auto Responses'!$J$13,5,10))</f>
        <v>10</v>
      </c>
      <c r="L242" s="107" t="str">
        <f>IF($E242='Auto Responses'!$L$13, 'Auto Responses'!$J$5,IF(AND($D242='Auto Responses'!$J$27,$H242=""),'Auto Responses'!$J$5,IF(AND($D242='Auto Responses'!$J$27,$H242='Auto Responses'!$J$7),1,IF(AND($D242='Auto Responses'!$J$27,$H242='Auto Responses'!$J$8),0,IF(OR(AND($F242=$G242,$H242=""),$H242='Auto Responses'!$J$7),1,0)))))</f>
        <v>N/A</v>
      </c>
      <c r="M242" s="4" t="str">
        <f>VLOOKUP($A242,'Privacy Analyst Evaluation'!$A$46:$K$120,11,0)&amp;""</f>
        <v>FALSE</v>
      </c>
      <c r="N242" s="4">
        <f>IF($J242='Auto Responses'!$J$11,1,IF(AND($J242="",$I242='Auto Responses'!$J$11),1,0))</f>
        <v>0</v>
      </c>
      <c r="O242" s="107" t="str">
        <f>IF(OR($E242='Auto Responses'!$L$13,$F$24='Auto Responses'!$J$4,$F242='Auto Responses'!$J$5),'Auto Responses'!$J$5,IF($J242="",$K242,IF($J242='Auto Responses'!$J$13,5,IF($J242='Auto Responses'!$J$12,10,IF($J242='Auto Responses'!$J$11,20,0)))))</f>
        <v>N/A</v>
      </c>
      <c r="P242" s="107" t="str">
        <f>IF(OR($O242='Auto Responses'!$J$5,$L242='Auto Responses'!$J$5),'Auto Responses'!$J$5,$O242*$L242)</f>
        <v>N/A</v>
      </c>
      <c r="Q242" s="107">
        <f t="shared" si="21"/>
        <v>0</v>
      </c>
      <c r="R242" s="107">
        <f t="shared" si="26"/>
        <v>0</v>
      </c>
      <c r="S242" s="107">
        <f t="shared" si="22"/>
        <v>0</v>
      </c>
      <c r="T242" s="107">
        <f t="shared" si="23"/>
        <v>0</v>
      </c>
      <c r="U242" s="107">
        <f t="shared" si="27"/>
        <v>62</v>
      </c>
      <c r="V242" s="107">
        <f t="shared" si="24"/>
        <v>0</v>
      </c>
    </row>
    <row r="243" spans="1:22" ht="71.25" x14ac:dyDescent="0.2">
      <c r="A243" s="4" t="str">
        <f>Questions!$A243</f>
        <v>PCOM-01</v>
      </c>
      <c r="B243" s="4" t="str">
        <f t="shared" si="25"/>
        <v>PCOM</v>
      </c>
      <c r="C243" s="4" t="str">
        <f>VLOOKUP($A243,Questions!$A$3:$L$333,2,0)&amp;""</f>
        <v>Have you had a personal data breach in the past three years that involved reporting to a governmental agency, notice to individuals (including voluntary notice), or notice to another organization or institution?*</v>
      </c>
      <c r="D243" s="4" t="str">
        <f>VLOOKUP($A243,Questions!$A$3:$L$333,11,0)&amp;""</f>
        <v/>
      </c>
      <c r="E243" s="4" t="str">
        <f>VLOOKUP($A243,Questions!$A$3:$L$333,12,0)&amp;""</f>
        <v>Privacy</v>
      </c>
      <c r="F243" s="4" t="str">
        <f>VLOOKUP($A243,'Privacy Analyst Evaluation'!$A$46:$K$120,3,0)&amp;""</f>
        <v/>
      </c>
      <c r="G243" s="4" t="str">
        <f>VLOOKUP($A243,'Privacy Analyst Evaluation'!$A$46:$K$120,7,0)&amp;""</f>
        <v>No</v>
      </c>
      <c r="H243" s="4" t="str">
        <f>VLOOKUP($A243,'Privacy Analyst Evaluation'!$A$46:$K$120,8,0)&amp;""</f>
        <v/>
      </c>
      <c r="I243" s="4" t="str">
        <f>VLOOKUP($A243,'Privacy Analyst Evaluation'!$A$46:$K$120,9,0)&amp;""</f>
        <v>Critical Importance</v>
      </c>
      <c r="J243" s="4" t="str">
        <f>VLOOKUP($A243,'Privacy Analyst Evaluation'!$A$46:$K$120,10,0)&amp;""</f>
        <v/>
      </c>
      <c r="K243" s="4">
        <f>IF($I243='Auto Responses'!$J$11,20,IF($I243='Auto Responses'!$J$13,5,10))</f>
        <v>20</v>
      </c>
      <c r="L243" s="107">
        <f>IF($E243='Auto Responses'!$L$13, 'Auto Responses'!$J$5,IF(AND($D243='Auto Responses'!$J$27,$H243=""),'Auto Responses'!$J$5,IF(AND($D243='Auto Responses'!$J$27,$H243='Auto Responses'!$J$7),1,IF(AND($D243='Auto Responses'!$J$27,$H243='Auto Responses'!$J$8),0,IF(OR(AND($F243=$G243,$H243=""),$H243='Auto Responses'!$J$7),1,0)))))</f>
        <v>0</v>
      </c>
      <c r="M243" s="4" t="str">
        <f>VLOOKUP($A243,'Privacy Analyst Evaluation'!$A$46:$K$120,11,0)&amp;""</f>
        <v>FALSE</v>
      </c>
      <c r="N243" s="4">
        <f>IF($J243='Auto Responses'!$J$11,1,IF(AND($J243="",$I243='Auto Responses'!$J$11),1,0))</f>
        <v>1</v>
      </c>
      <c r="O243" s="107">
        <f>IF(OR($E243='Auto Responses'!$L$13,$F$24='Auto Responses'!$J$4,$F243='Auto Responses'!$J$5),'Auto Responses'!$J$5,IF($J243="",$K243,IF($J243='Auto Responses'!$J$13,5,IF($J243='Auto Responses'!$J$12,10,IF($J243='Auto Responses'!$J$11,20,0)))))</f>
        <v>20</v>
      </c>
      <c r="P243" s="107">
        <f>IF(OR($O243='Auto Responses'!$J$5,$L243='Auto Responses'!$J$5),'Auto Responses'!$J$5,$O243*$L243)</f>
        <v>0</v>
      </c>
      <c r="Q243" s="107">
        <f t="shared" si="21"/>
        <v>0</v>
      </c>
      <c r="R243" s="107">
        <f t="shared" si="26"/>
        <v>0</v>
      </c>
      <c r="S243" s="107">
        <f t="shared" si="22"/>
        <v>0</v>
      </c>
      <c r="T243" s="107">
        <f t="shared" si="23"/>
        <v>1</v>
      </c>
      <c r="U243" s="107">
        <f t="shared" si="27"/>
        <v>63</v>
      </c>
      <c r="V243" s="107">
        <f t="shared" si="24"/>
        <v>63</v>
      </c>
    </row>
    <row r="244" spans="1:22" ht="57" x14ac:dyDescent="0.2">
      <c r="A244" s="4" t="str">
        <f>Questions!$A244</f>
        <v>PCOM-02</v>
      </c>
      <c r="B244" s="4" t="str">
        <f t="shared" si="25"/>
        <v>PCOM</v>
      </c>
      <c r="C244" s="4" t="str">
        <f>VLOOKUP($A244,Questions!$A$3:$L$333,2,0)&amp;""</f>
        <v>Use this area to share information about your privacy practices that will assist those who are assessing your company data privacy program.*</v>
      </c>
      <c r="D244" s="4" t="str">
        <f>VLOOKUP($A244,Questions!$A$3:$L$333,11,0)&amp;""</f>
        <v/>
      </c>
      <c r="E244" s="4" t="str">
        <f>VLOOKUP($A244,Questions!$A$3:$L$333,12,0)&amp;""</f>
        <v>Not scored</v>
      </c>
      <c r="F244" s="4" t="str">
        <f>VLOOKUP($A244,'Privacy Analyst Evaluation'!$A$46:$K$120,3,0)&amp;""</f>
        <v/>
      </c>
      <c r="G244" s="4" t="str">
        <f>VLOOKUP($A244,'Privacy Analyst Evaluation'!$A$46:$K$120,7,0)&amp;""</f>
        <v>Not scored</v>
      </c>
      <c r="H244" s="4" t="str">
        <f>VLOOKUP($A244,'Privacy Analyst Evaluation'!$A$46:$K$120,8,0)&amp;""</f>
        <v/>
      </c>
      <c r="I244" s="4" t="str">
        <f>VLOOKUP($A244,'Privacy Analyst Evaluation'!$A$46:$K$120,9,0)&amp;""</f>
        <v/>
      </c>
      <c r="J244" s="4" t="str">
        <f>VLOOKUP($A244,'Privacy Analyst Evaluation'!$A$46:$K$120,10,0)&amp;""</f>
        <v/>
      </c>
      <c r="K244" s="4">
        <f>IF($I244='Auto Responses'!$J$11,20,IF($I244='Auto Responses'!$J$13,5,10))</f>
        <v>10</v>
      </c>
      <c r="L244" s="107" t="str">
        <f>IF($E244='Auto Responses'!$L$13, 'Auto Responses'!$J$5,IF(AND($D244='Auto Responses'!$J$27,$H244=""),'Auto Responses'!$J$5,IF(AND($D244='Auto Responses'!$J$27,$H244='Auto Responses'!$J$7),1,IF(AND($D244='Auto Responses'!$J$27,$H244='Auto Responses'!$J$8),0,IF(OR(AND($F244=$G244,$H244=""),$H244='Auto Responses'!$J$7),1,0)))))</f>
        <v>N/A</v>
      </c>
      <c r="M244" s="4" t="str">
        <f>VLOOKUP($A244,'Privacy Analyst Evaluation'!$A$46:$K$120,11,0)&amp;""</f>
        <v>FALSE</v>
      </c>
      <c r="N244" s="4">
        <f>IF($J244='Auto Responses'!$J$11,1,IF(AND($J244="",$I244='Auto Responses'!$J$11),1,0))</f>
        <v>0</v>
      </c>
      <c r="O244" s="107" t="str">
        <f>IF(OR($E244='Auto Responses'!$L$13,$F$24='Auto Responses'!$J$4,$F244='Auto Responses'!$J$5),'Auto Responses'!$J$5,IF($J244="",$K244,IF($J244='Auto Responses'!$J$13,5,IF($J244='Auto Responses'!$J$12,10,IF($J244='Auto Responses'!$J$11,20,0)))))</f>
        <v>N/A</v>
      </c>
      <c r="P244" s="107" t="str">
        <f>IF(OR($O244='Auto Responses'!$J$5,$L244='Auto Responses'!$J$5),'Auto Responses'!$J$5,$O244*$L244)</f>
        <v>N/A</v>
      </c>
      <c r="Q244" s="107">
        <f t="shared" si="21"/>
        <v>0</v>
      </c>
      <c r="R244" s="107">
        <f t="shared" si="26"/>
        <v>0</v>
      </c>
      <c r="S244" s="107">
        <f t="shared" si="22"/>
        <v>0</v>
      </c>
      <c r="T244" s="107">
        <f t="shared" si="23"/>
        <v>0</v>
      </c>
      <c r="U244" s="107">
        <f t="shared" si="27"/>
        <v>63</v>
      </c>
      <c r="V244" s="107">
        <f t="shared" si="24"/>
        <v>0</v>
      </c>
    </row>
    <row r="245" spans="1:22" ht="57" x14ac:dyDescent="0.2">
      <c r="A245" s="4" t="str">
        <f>Questions!$A245</f>
        <v>PCOM-03</v>
      </c>
      <c r="B245" s="4" t="str">
        <f t="shared" si="25"/>
        <v>PCOM</v>
      </c>
      <c r="C245" s="4" t="str">
        <f>VLOOKUP($A245,Questions!$A$3:$L$333,2,0)&amp;""</f>
        <v>Have you had any violations of your internal privacy policies or violations of applicable privacy law in the past 36 months?</v>
      </c>
      <c r="D245" s="4" t="str">
        <f>VLOOKUP($A245,Questions!$A$3:$L$333,11,0)&amp;""</f>
        <v/>
      </c>
      <c r="E245" s="4" t="str">
        <f>VLOOKUP($A245,Questions!$A$3:$L$333,12,0)&amp;""</f>
        <v>Privacy</v>
      </c>
      <c r="F245" s="4" t="str">
        <f>VLOOKUP($A245,'Privacy Analyst Evaluation'!$A$46:$K$120,3,0)&amp;""</f>
        <v/>
      </c>
      <c r="G245" s="4" t="str">
        <f>VLOOKUP($A245,'Privacy Analyst Evaluation'!$A$46:$K$120,7,0)&amp;""</f>
        <v>No</v>
      </c>
      <c r="H245" s="4" t="str">
        <f>VLOOKUP($A245,'Privacy Analyst Evaluation'!$A$46:$K$120,8,0)&amp;""</f>
        <v/>
      </c>
      <c r="I245" s="4" t="str">
        <f>VLOOKUP($A245,'Privacy Analyst Evaluation'!$A$46:$K$120,9,0)&amp;""</f>
        <v>Minor Importance</v>
      </c>
      <c r="J245" s="4" t="str">
        <f>VLOOKUP($A245,'Privacy Analyst Evaluation'!$A$46:$K$120,10,0)&amp;""</f>
        <v/>
      </c>
      <c r="K245" s="4">
        <f>IF($I245='Auto Responses'!$J$11,20,IF($I245='Auto Responses'!$J$13,5,10))</f>
        <v>5</v>
      </c>
      <c r="L245" s="107">
        <f>IF($E245='Auto Responses'!$L$13, 'Auto Responses'!$J$5,IF(AND($D245='Auto Responses'!$J$27,$H245=""),'Auto Responses'!$J$5,IF(AND($D245='Auto Responses'!$J$27,$H245='Auto Responses'!$J$7),1,IF(AND($D245='Auto Responses'!$J$27,$H245='Auto Responses'!$J$8),0,IF(OR(AND($F245=$G245,$H245=""),$H245='Auto Responses'!$J$7),1,0)))))</f>
        <v>0</v>
      </c>
      <c r="M245" s="4" t="str">
        <f>VLOOKUP($A245,'Privacy Analyst Evaluation'!$A$46:$K$120,11,0)&amp;""</f>
        <v>FALSE</v>
      </c>
      <c r="N245" s="4">
        <f>IF($J245='Auto Responses'!$J$11,1,IF(AND($J245="",$I245='Auto Responses'!$J$11),1,0))</f>
        <v>0</v>
      </c>
      <c r="O245" s="107">
        <f>IF(OR($E245='Auto Responses'!$L$13,$F$24='Auto Responses'!$J$4,$F245='Auto Responses'!$J$5),'Auto Responses'!$J$5,IF($J245="",$K245,IF($J245='Auto Responses'!$J$13,5,IF($J245='Auto Responses'!$J$12,10,IF($J245='Auto Responses'!$J$11,20,0)))))</f>
        <v>5</v>
      </c>
      <c r="P245" s="107">
        <f>IF(OR($O245='Auto Responses'!$J$5,$L245='Auto Responses'!$J$5),'Auto Responses'!$J$5,$O245*$L245)</f>
        <v>0</v>
      </c>
      <c r="Q245" s="107">
        <f t="shared" si="21"/>
        <v>0</v>
      </c>
      <c r="R245" s="107">
        <f t="shared" si="26"/>
        <v>0</v>
      </c>
      <c r="S245" s="107">
        <f t="shared" si="22"/>
        <v>0</v>
      </c>
      <c r="T245" s="107">
        <f t="shared" si="23"/>
        <v>0</v>
      </c>
      <c r="U245" s="107">
        <f t="shared" si="27"/>
        <v>63</v>
      </c>
      <c r="V245" s="107">
        <f t="shared" si="24"/>
        <v>0</v>
      </c>
    </row>
    <row r="246" spans="1:22" ht="57" x14ac:dyDescent="0.2">
      <c r="A246" s="4" t="str">
        <f>Questions!$A246</f>
        <v>PCOM-04</v>
      </c>
      <c r="B246" s="4" t="str">
        <f t="shared" si="25"/>
        <v>PCOM</v>
      </c>
      <c r="C246" s="4" t="str">
        <f>VLOOKUP($A246,Questions!$A$3:$L$333,2,0)&amp;""</f>
        <v>Do you have a dedicated data privacy staff or office?</v>
      </c>
      <c r="D246" s="4" t="str">
        <f>VLOOKUP($A246,Questions!$A$3:$L$333,11,0)&amp;""</f>
        <v/>
      </c>
      <c r="E246" s="4" t="str">
        <f>VLOOKUP($A246,Questions!$A$3:$L$333,12,0)&amp;""</f>
        <v>Privacy</v>
      </c>
      <c r="F246" s="4" t="str">
        <f>VLOOKUP($A246,'Privacy Analyst Evaluation'!$A$46:$K$120,3,0)&amp;""</f>
        <v/>
      </c>
      <c r="G246" s="4" t="str">
        <f>VLOOKUP($A246,'Privacy Analyst Evaluation'!$A$46:$K$120,7,0)&amp;""</f>
        <v>Yes</v>
      </c>
      <c r="H246" s="4" t="str">
        <f>VLOOKUP($A246,'Privacy Analyst Evaluation'!$A$46:$K$120,8,0)&amp;""</f>
        <v/>
      </c>
      <c r="I246" s="4" t="str">
        <f>VLOOKUP($A246,'Privacy Analyst Evaluation'!$A$46:$K$120,9,0)&amp;""</f>
        <v>Minor Importance</v>
      </c>
      <c r="J246" s="4" t="str">
        <f>VLOOKUP($A246,'Privacy Analyst Evaluation'!$A$46:$K$120,10,0)&amp;""</f>
        <v/>
      </c>
      <c r="K246" s="4">
        <f>IF($I246='Auto Responses'!$J$11,20,IF($I246='Auto Responses'!$J$13,5,10))</f>
        <v>5</v>
      </c>
      <c r="L246" s="107">
        <f>IF($E246='Auto Responses'!$L$13, 'Auto Responses'!$J$5,IF(AND($D246='Auto Responses'!$J$27,$H246=""),'Auto Responses'!$J$5,IF(AND($D246='Auto Responses'!$J$27,$H246='Auto Responses'!$J$7),1,IF(AND($D246='Auto Responses'!$J$27,$H246='Auto Responses'!$J$8),0,IF(OR(AND($F246=$G246,$H246=""),$H246='Auto Responses'!$J$7),1,0)))))</f>
        <v>0</v>
      </c>
      <c r="M246" s="4" t="str">
        <f>VLOOKUP($A246,'Privacy Analyst Evaluation'!$A$46:$K$120,11,0)&amp;""</f>
        <v>FALSE</v>
      </c>
      <c r="N246" s="4">
        <f>IF($J246='Auto Responses'!$J$11,1,IF(AND($J246="",$I246='Auto Responses'!$J$11),1,0))</f>
        <v>0</v>
      </c>
      <c r="O246" s="107">
        <f>IF(OR($E246='Auto Responses'!$L$13,$F$24='Auto Responses'!$J$4,$F246='Auto Responses'!$J$5),'Auto Responses'!$J$5,IF($J246="",$K246,IF($J246='Auto Responses'!$J$13,5,IF($J246='Auto Responses'!$J$12,10,IF($J246='Auto Responses'!$J$11,20,0)))))</f>
        <v>5</v>
      </c>
      <c r="P246" s="107">
        <f>IF(OR($O246='Auto Responses'!$J$5,$L246='Auto Responses'!$J$5),'Auto Responses'!$J$5,$O246*$L246)</f>
        <v>0</v>
      </c>
      <c r="Q246" s="107">
        <f t="shared" si="21"/>
        <v>0</v>
      </c>
      <c r="R246" s="107">
        <f t="shared" si="26"/>
        <v>0</v>
      </c>
      <c r="S246" s="107">
        <f t="shared" si="22"/>
        <v>0</v>
      </c>
      <c r="T246" s="107">
        <f t="shared" si="23"/>
        <v>0</v>
      </c>
      <c r="U246" s="107">
        <f t="shared" si="27"/>
        <v>63</v>
      </c>
      <c r="V246" s="107">
        <f t="shared" si="24"/>
        <v>0</v>
      </c>
    </row>
    <row r="247" spans="1:22" ht="57" x14ac:dyDescent="0.2">
      <c r="A247" s="4" t="str">
        <f>Questions!$A247</f>
        <v>PDOC-01</v>
      </c>
      <c r="B247" s="4" t="str">
        <f t="shared" si="25"/>
        <v>PDOC</v>
      </c>
      <c r="C247" s="4" t="str">
        <f>VLOOKUP($A247,Questions!$A$3:$L$333,2,0)&amp;""</f>
        <v>If you have completed a SOC 2 audit, does it include the Privacy Trust Service Principle?</v>
      </c>
      <c r="D247" s="4" t="str">
        <f>VLOOKUP($A247,Questions!$A$3:$L$333,11,0)&amp;""</f>
        <v/>
      </c>
      <c r="E247" s="4" t="str">
        <f>VLOOKUP($A247,Questions!$A$3:$L$333,12,0)&amp;""</f>
        <v>Not scored</v>
      </c>
      <c r="F247" s="4" t="str">
        <f>VLOOKUP($A247,'Privacy Analyst Evaluation'!$A$46:$K$120,3,0)&amp;""</f>
        <v/>
      </c>
      <c r="G247" s="4" t="str">
        <f>VLOOKUP($A247,'Privacy Analyst Evaluation'!$A$46:$K$120,7,0)&amp;""</f>
        <v>Not scored</v>
      </c>
      <c r="H247" s="4" t="str">
        <f>VLOOKUP($A247,'Privacy Analyst Evaluation'!$A$46:$K$120,8,0)&amp;""</f>
        <v/>
      </c>
      <c r="I247" s="4" t="str">
        <f>VLOOKUP($A247,'Privacy Analyst Evaluation'!$A$46:$K$120,9,0)&amp;""</f>
        <v/>
      </c>
      <c r="J247" s="4" t="str">
        <f>VLOOKUP($A247,'Privacy Analyst Evaluation'!$A$46:$K$120,10,0)&amp;""</f>
        <v/>
      </c>
      <c r="K247" s="4">
        <f>IF($I247='Auto Responses'!$J$11,20,IF($I247='Auto Responses'!$J$13,5,10))</f>
        <v>10</v>
      </c>
      <c r="L247" s="107" t="str">
        <f>IF($E247='Auto Responses'!$L$13, 'Auto Responses'!$J$5,IF(AND($D247='Auto Responses'!$J$27,$H247=""),'Auto Responses'!$J$5,IF(AND($D247='Auto Responses'!$J$27,$H247='Auto Responses'!$J$7),1,IF(AND($D247='Auto Responses'!$J$27,$H247='Auto Responses'!$J$8),0,IF(OR(AND($F247=$G247,$H247=""),$H247='Auto Responses'!$J$7),1,0)))))</f>
        <v>N/A</v>
      </c>
      <c r="M247" s="4" t="str">
        <f>VLOOKUP($A247,'Privacy Analyst Evaluation'!$A$46:$K$120,11,0)&amp;""</f>
        <v>FALSE</v>
      </c>
      <c r="N247" s="4">
        <f>IF($J247='Auto Responses'!$J$11,1,IF(AND($J247="",$I247='Auto Responses'!$J$11),1,0))</f>
        <v>0</v>
      </c>
      <c r="O247" s="107" t="str">
        <f>IF(OR($E247='Auto Responses'!$L$13,$F247='Auto Responses'!$J$5,$F$24='Auto Responses'!$J$4),'Auto Responses'!$J$5,IF($J247="",$K247,IF($J247='Auto Responses'!$J$13,5,IF($J247='Auto Responses'!$J$12,10,IF($J247='Auto Responses'!$J$11,20,0)))))</f>
        <v>N/A</v>
      </c>
      <c r="P247" s="107" t="str">
        <f>IF(OR($O247='Auto Responses'!$J$5,$L247='Auto Responses'!$J$5),'Auto Responses'!$J$5,$O247*$L247)</f>
        <v>N/A</v>
      </c>
      <c r="Q247" s="107">
        <f t="shared" si="21"/>
        <v>0</v>
      </c>
      <c r="R247" s="107">
        <f t="shared" si="26"/>
        <v>0</v>
      </c>
      <c r="S247" s="107">
        <f t="shared" si="22"/>
        <v>0</v>
      </c>
      <c r="T247" s="107">
        <f t="shared" si="23"/>
        <v>0</v>
      </c>
      <c r="U247" s="107">
        <f t="shared" si="27"/>
        <v>63</v>
      </c>
      <c r="V247" s="107">
        <f t="shared" si="24"/>
        <v>0</v>
      </c>
    </row>
    <row r="248" spans="1:22" ht="57" x14ac:dyDescent="0.2">
      <c r="A248" s="4" t="str">
        <f>Questions!$A248</f>
        <v>PDOC-02</v>
      </c>
      <c r="B248" s="4" t="str">
        <f t="shared" si="25"/>
        <v>PDOC</v>
      </c>
      <c r="C248" s="4" t="str">
        <f>VLOOKUP($A248,Questions!$A$3:$L$333,2,0)&amp;""</f>
        <v>Do you conform with a specific industry-standard privacy framework (e.g., NIST Privacy Framework, GDPR, ISO 27701)?</v>
      </c>
      <c r="D248" s="4" t="str">
        <f>VLOOKUP($A248,Questions!$A$3:$L$333,11,0)&amp;""</f>
        <v/>
      </c>
      <c r="E248" s="4" t="str">
        <f>VLOOKUP($A248,Questions!$A$3:$L$333,12,0)&amp;""</f>
        <v>Not scored</v>
      </c>
      <c r="F248" s="4" t="str">
        <f>VLOOKUP($A248,'Privacy Analyst Evaluation'!$A$46:$K$120,3,0)&amp;""</f>
        <v/>
      </c>
      <c r="G248" s="4" t="str">
        <f>VLOOKUP($A248,'Privacy Analyst Evaluation'!$A$46:$K$120,7,0)&amp;""</f>
        <v>Not scored</v>
      </c>
      <c r="H248" s="4" t="str">
        <f>VLOOKUP($A248,'Privacy Analyst Evaluation'!$A$46:$K$120,8,0)&amp;""</f>
        <v/>
      </c>
      <c r="I248" s="4" t="str">
        <f>VLOOKUP($A248,'Privacy Analyst Evaluation'!$A$46:$K$120,9,0)&amp;""</f>
        <v/>
      </c>
      <c r="J248" s="4" t="str">
        <f>VLOOKUP($A248,'Privacy Analyst Evaluation'!$A$46:$K$120,10,0)&amp;""</f>
        <v/>
      </c>
      <c r="K248" s="4">
        <f>IF($I248='Auto Responses'!$J$11,20,IF($I248='Auto Responses'!$J$13,5,10))</f>
        <v>10</v>
      </c>
      <c r="L248" s="107" t="str">
        <f>IF($E248='Auto Responses'!$L$13, 'Auto Responses'!$J$5,IF(AND($D248='Auto Responses'!$J$27,$H248=""),'Auto Responses'!$J$5,IF(AND($D248='Auto Responses'!$J$27,$H248='Auto Responses'!$J$7),1,IF(AND($D248='Auto Responses'!$J$27,$H248='Auto Responses'!$J$8),0,IF(OR(AND($F248=$G248,$H248=""),$H248='Auto Responses'!$J$7),1,0)))))</f>
        <v>N/A</v>
      </c>
      <c r="M248" s="4" t="str">
        <f>VLOOKUP($A248,'Privacy Analyst Evaluation'!$A$46:$K$120,11,0)&amp;""</f>
        <v>FALSE</v>
      </c>
      <c r="N248" s="4">
        <f>IF($J248='Auto Responses'!$J$11,1,IF(AND($J248="",$I248='Auto Responses'!$J$11),1,0))</f>
        <v>0</v>
      </c>
      <c r="O248" s="107" t="str">
        <f>IF(OR($E248='Auto Responses'!$L$13,$F248='Auto Responses'!$J$5,$F$24='Auto Responses'!$J$4),'Auto Responses'!$J$5,IF($J248="",$K248,IF($J248='Auto Responses'!$J$13,5,IF($J248='Auto Responses'!$J$12,10,IF($J248='Auto Responses'!$J$11,20,0)))))</f>
        <v>N/A</v>
      </c>
      <c r="P248" s="107" t="str">
        <f>IF(OR($O248='Auto Responses'!$J$5,$L248='Auto Responses'!$J$5),'Auto Responses'!$J$5,$O248*$L248)</f>
        <v>N/A</v>
      </c>
      <c r="Q248" s="107">
        <f t="shared" si="21"/>
        <v>0</v>
      </c>
      <c r="R248" s="107">
        <f t="shared" si="26"/>
        <v>0</v>
      </c>
      <c r="S248" s="107">
        <f t="shared" si="22"/>
        <v>0</v>
      </c>
      <c r="T248" s="107">
        <f t="shared" si="23"/>
        <v>0</v>
      </c>
      <c r="U248" s="107">
        <f t="shared" si="27"/>
        <v>63</v>
      </c>
      <c r="V248" s="107">
        <f t="shared" si="24"/>
        <v>0</v>
      </c>
    </row>
    <row r="249" spans="1:22" ht="57" x14ac:dyDescent="0.2">
      <c r="A249" s="4" t="str">
        <f>Questions!$A249</f>
        <v>PDOC-03</v>
      </c>
      <c r="B249" s="4" t="str">
        <f t="shared" si="25"/>
        <v>PDOC</v>
      </c>
      <c r="C249" s="4" t="str">
        <f>VLOOKUP($A249,Questions!$A$3:$L$333,2,0)&amp;""</f>
        <v>Does your employee onboarding and offboarding policy include training of employees on information security and data privacy?</v>
      </c>
      <c r="D249" s="4" t="str">
        <f>VLOOKUP($A249,Questions!$A$3:$L$333,11,0)&amp;""</f>
        <v/>
      </c>
      <c r="E249" s="4" t="str">
        <f>VLOOKUP($A249,Questions!$A$3:$L$333,12,0)&amp;""</f>
        <v>Privacy</v>
      </c>
      <c r="F249" s="4" t="str">
        <f>VLOOKUP($A249,'Privacy Analyst Evaluation'!$A$46:$K$120,3,0)&amp;""</f>
        <v/>
      </c>
      <c r="G249" s="4" t="str">
        <f>VLOOKUP($A249,'Privacy Analyst Evaluation'!$A$46:$K$120,7,0)&amp;""</f>
        <v>Yes</v>
      </c>
      <c r="H249" s="4" t="str">
        <f>VLOOKUP($A249,'Privacy Analyst Evaluation'!$A$46:$K$120,8,0)&amp;""</f>
        <v/>
      </c>
      <c r="I249" s="4" t="str">
        <f>VLOOKUP($A249,'Privacy Analyst Evaluation'!$A$46:$K$120,9,0)&amp;""</f>
        <v>Standard Importance</v>
      </c>
      <c r="J249" s="4" t="str">
        <f>VLOOKUP($A249,'Privacy Analyst Evaluation'!$A$46:$K$120,10,0)&amp;""</f>
        <v/>
      </c>
      <c r="K249" s="4">
        <f>IF($I249='Auto Responses'!$J$11,20,IF($I249='Auto Responses'!$J$13,5,10))</f>
        <v>10</v>
      </c>
      <c r="L249" s="107">
        <f>IF($E249='Auto Responses'!$L$13, 'Auto Responses'!$J$5,IF(AND($D249='Auto Responses'!$J$27,$H249=""),'Auto Responses'!$J$5,IF(AND($D249='Auto Responses'!$J$27,$H249='Auto Responses'!$J$7),1,IF(AND($D249='Auto Responses'!$J$27,$H249='Auto Responses'!$J$8),0,IF(OR(AND($F249=$G249,$H249=""),$H249='Auto Responses'!$J$7),1,0)))))</f>
        <v>0</v>
      </c>
      <c r="M249" s="4" t="str">
        <f>VLOOKUP($A249,'Privacy Analyst Evaluation'!$A$46:$K$120,11,0)&amp;""</f>
        <v>FALSE</v>
      </c>
      <c r="N249" s="4">
        <f>IF($J249='Auto Responses'!$J$11,1,IF(AND($J249="",$I249='Auto Responses'!$J$11),1,0))</f>
        <v>0</v>
      </c>
      <c r="O249" s="107">
        <f>IF(OR($E249='Auto Responses'!$L$13,$F249='Auto Responses'!$J$5,$F$24='Auto Responses'!$J$4),'Auto Responses'!$J$5,IF($J249="",$K249,IF($J249='Auto Responses'!$J$13,5,IF($J249='Auto Responses'!$J$12,10,IF($J249='Auto Responses'!$J$11,20,0)))))</f>
        <v>10</v>
      </c>
      <c r="P249" s="107">
        <f>IF(OR($O249='Auto Responses'!$J$5,$L249='Auto Responses'!$J$5),'Auto Responses'!$J$5,$O249*$L249)</f>
        <v>0</v>
      </c>
      <c r="Q249" s="107">
        <f t="shared" si="21"/>
        <v>0</v>
      </c>
      <c r="R249" s="107">
        <f t="shared" si="26"/>
        <v>0</v>
      </c>
      <c r="S249" s="107">
        <f t="shared" si="22"/>
        <v>0</v>
      </c>
      <c r="T249" s="107">
        <f t="shared" si="23"/>
        <v>0</v>
      </c>
      <c r="U249" s="107">
        <f t="shared" si="27"/>
        <v>63</v>
      </c>
      <c r="V249" s="107">
        <f t="shared" si="24"/>
        <v>0</v>
      </c>
    </row>
    <row r="250" spans="1:22" ht="57" x14ac:dyDescent="0.2">
      <c r="A250" s="4" t="str">
        <f>Questions!$A250</f>
        <v>PTHP-01</v>
      </c>
      <c r="B250" s="4" t="str">
        <f t="shared" si="25"/>
        <v>PTHP</v>
      </c>
      <c r="C250" s="4" t="str">
        <f>VLOOKUP($A250,Questions!$A$3:$L$333,2,0)&amp;""</f>
        <v>Do you have contractual agreements with third parties that require them to maintain standards and to comply with all regulatory requirements?*</v>
      </c>
      <c r="D250" s="4" t="str">
        <f>VLOOKUP($A250,Questions!$A$3:$L$333,11,0)&amp;""</f>
        <v/>
      </c>
      <c r="E250" s="4" t="str">
        <f>VLOOKUP($A250,Questions!$A$3:$L$333,12,0)&amp;""</f>
        <v>Privacy</v>
      </c>
      <c r="F250" s="4" t="str">
        <f>VLOOKUP($A250,'Privacy Analyst Evaluation'!$A$46:$K$120,3,0)&amp;""</f>
        <v/>
      </c>
      <c r="G250" s="4" t="str">
        <f>VLOOKUP($A250,'Privacy Analyst Evaluation'!$A$46:$K$120,7,0)&amp;""</f>
        <v>Yes</v>
      </c>
      <c r="H250" s="4" t="str">
        <f>VLOOKUP($A250,'Privacy Analyst Evaluation'!$A$46:$K$120,8,0)&amp;""</f>
        <v/>
      </c>
      <c r="I250" s="4" t="str">
        <f>VLOOKUP($A250,'Privacy Analyst Evaluation'!$A$46:$K$120,9,0)&amp;""</f>
        <v>Critical Importance</v>
      </c>
      <c r="J250" s="4" t="str">
        <f>VLOOKUP($A250,'Privacy Analyst Evaluation'!$A$46:$K$120,10,0)&amp;""</f>
        <v/>
      </c>
      <c r="K250" s="4">
        <f>IF($I250='Auto Responses'!$J$11,20,IF($I250='Auto Responses'!$J$13,5,10))</f>
        <v>20</v>
      </c>
      <c r="L250" s="107">
        <f>IF($E250='Auto Responses'!$L$13, 'Auto Responses'!$J$5,IF(AND($D250='Auto Responses'!$J$27,$H250=""),'Auto Responses'!$J$5,IF(AND($D250='Auto Responses'!$J$27,$H250='Auto Responses'!$J$7),1,IF(AND($D250='Auto Responses'!$J$27,$H250='Auto Responses'!$J$8),0,IF(OR(AND($F250=$G250,$H250=""),$H250='Auto Responses'!$J$7),1,0)))))</f>
        <v>0</v>
      </c>
      <c r="M250" s="4" t="str">
        <f>VLOOKUP($A250,'Privacy Analyst Evaluation'!$A$46:$K$120,11,0)&amp;""</f>
        <v>FALSE</v>
      </c>
      <c r="N250" s="4">
        <f>IF($J250='Auto Responses'!$J$11,1,IF(AND($J250="",$I250='Auto Responses'!$J$11),1,0))</f>
        <v>1</v>
      </c>
      <c r="O250" s="107">
        <f>IF(OR($E250='Auto Responses'!$L$13,$F$24='Auto Responses'!$J$4,$F250='Auto Responses'!$J$5),'Auto Responses'!$J$5,IF($J250="",$K250,IF($J250='Auto Responses'!$J$13,5,IF($J250='Auto Responses'!$J$12,10,IF($J250='Auto Responses'!$J$11,20,0)))))</f>
        <v>20</v>
      </c>
      <c r="P250" s="107">
        <f>IF(OR($O250='Auto Responses'!$J$5,$L250='Auto Responses'!$J$5),'Auto Responses'!$J$5,$O250*$L250)</f>
        <v>0</v>
      </c>
      <c r="Q250" s="107">
        <f t="shared" si="21"/>
        <v>0</v>
      </c>
      <c r="R250" s="107">
        <f t="shared" si="26"/>
        <v>0</v>
      </c>
      <c r="S250" s="107">
        <f t="shared" si="22"/>
        <v>0</v>
      </c>
      <c r="T250" s="107">
        <f t="shared" si="23"/>
        <v>1</v>
      </c>
      <c r="U250" s="107">
        <f t="shared" si="27"/>
        <v>64</v>
      </c>
      <c r="V250" s="107">
        <f t="shared" si="24"/>
        <v>64</v>
      </c>
    </row>
    <row r="251" spans="1:22" ht="85.5" x14ac:dyDescent="0.2">
      <c r="A251" s="4" t="str">
        <f>Questions!$A251</f>
        <v>PTHP-02</v>
      </c>
      <c r="B251" s="4" t="str">
        <f t="shared" si="25"/>
        <v>PTHP</v>
      </c>
      <c r="C251" s="4" t="str">
        <f>VLOOKUP($A251,Questions!$A$3:$L$333,2,0)&amp;""</f>
        <v>Do you perform privacy impact assessments of third parties that collect, process, or have access to personal data to ensure they meet industry and regulatory standards and to mitigate harmful, unethical, or discriminatory impacts on data subjects?</v>
      </c>
      <c r="D251" s="4" t="str">
        <f>VLOOKUP($A251,Questions!$A$3:$L$333,11,0)&amp;""</f>
        <v/>
      </c>
      <c r="E251" s="4" t="str">
        <f>VLOOKUP($A251,Questions!$A$3:$L$333,12,0)&amp;""</f>
        <v>Privacy</v>
      </c>
      <c r="F251" s="4" t="str">
        <f>VLOOKUP($A251,'Privacy Analyst Evaluation'!$A$46:$K$120,3,0)&amp;""</f>
        <v/>
      </c>
      <c r="G251" s="4" t="str">
        <f>VLOOKUP($A251,'Privacy Analyst Evaluation'!$A$46:$K$120,7,0)&amp;""</f>
        <v>Yes</v>
      </c>
      <c r="H251" s="4" t="str">
        <f>VLOOKUP($A251,'Privacy Analyst Evaluation'!$A$46:$K$120,8,0)&amp;""</f>
        <v/>
      </c>
      <c r="I251" s="4" t="str">
        <f>VLOOKUP($A251,'Privacy Analyst Evaluation'!$A$46:$K$120,9,0)&amp;""</f>
        <v>Minor Importance</v>
      </c>
      <c r="J251" s="4" t="str">
        <f>VLOOKUP($A251,'Privacy Analyst Evaluation'!$A$46:$K$120,10,0)&amp;""</f>
        <v/>
      </c>
      <c r="K251" s="4">
        <f>IF($I251='Auto Responses'!$J$11,20,IF($I251='Auto Responses'!$J$13,5,10))</f>
        <v>5</v>
      </c>
      <c r="L251" s="107">
        <f>IF($E251='Auto Responses'!$L$13, 'Auto Responses'!$J$5,IF(AND($D251='Auto Responses'!$J$27,$H251=""),'Auto Responses'!$J$5,IF(AND($D251='Auto Responses'!$J$27,$H251='Auto Responses'!$J$7),1,IF(AND($D251='Auto Responses'!$J$27,$H251='Auto Responses'!$J$8),0,IF(OR(AND($F251=$G251,$H251=""),$H251='Auto Responses'!$J$7),1,0)))))</f>
        <v>0</v>
      </c>
      <c r="M251" s="4" t="str">
        <f>VLOOKUP($A251,'Privacy Analyst Evaluation'!$A$46:$K$120,11,0)&amp;""</f>
        <v>FALSE</v>
      </c>
      <c r="N251" s="4">
        <f>IF($J251='Auto Responses'!$J$11,1,IF(AND($J251="",$I251='Auto Responses'!$J$11),1,0))</f>
        <v>0</v>
      </c>
      <c r="O251" s="107">
        <f>IF(OR($E251='Auto Responses'!$L$13,$F$24='Auto Responses'!$J$4,$F251='Auto Responses'!$J$5),'Auto Responses'!$J$5,IF($J251="",$K251,IF($J251='Auto Responses'!$J$13,5,IF($J251='Auto Responses'!$J$12,10,IF($J251='Auto Responses'!$J$11,20,0)))))</f>
        <v>5</v>
      </c>
      <c r="P251" s="107">
        <f>IF(OR($O251='Auto Responses'!$J$5,$L251='Auto Responses'!$J$5),'Auto Responses'!$J$5,$O251*$L251)</f>
        <v>0</v>
      </c>
      <c r="Q251" s="107">
        <f t="shared" si="21"/>
        <v>0</v>
      </c>
      <c r="R251" s="107">
        <f t="shared" si="26"/>
        <v>0</v>
      </c>
      <c r="S251" s="107">
        <f t="shared" si="22"/>
        <v>0</v>
      </c>
      <c r="T251" s="107">
        <f t="shared" si="23"/>
        <v>0</v>
      </c>
      <c r="U251" s="107">
        <f t="shared" si="27"/>
        <v>64</v>
      </c>
      <c r="V251" s="107">
        <f t="shared" si="24"/>
        <v>0</v>
      </c>
    </row>
    <row r="252" spans="1:22" ht="57" x14ac:dyDescent="0.2">
      <c r="A252" s="4" t="str">
        <f>Questions!$A252</f>
        <v>PCHG-01</v>
      </c>
      <c r="B252" s="4" t="str">
        <f t="shared" si="25"/>
        <v>PCHG</v>
      </c>
      <c r="C252" s="4" t="str">
        <f>VLOOKUP($A252,Questions!$A$3:$L$333,2,0)&amp;""</f>
        <v>Does your change management process include privacy review and approval?</v>
      </c>
      <c r="D252" s="4" t="str">
        <f>VLOOKUP($A252,Questions!$A$3:$L$333,11,0)&amp;""</f>
        <v/>
      </c>
      <c r="E252" s="4" t="str">
        <f>VLOOKUP($A252,Questions!$A$3:$L$333,12,0)&amp;""</f>
        <v>Privacy</v>
      </c>
      <c r="F252" s="4" t="str">
        <f>VLOOKUP($A252,'Privacy Analyst Evaluation'!$A$46:$K$120,3,0)&amp;""</f>
        <v/>
      </c>
      <c r="G252" s="4" t="str">
        <f>VLOOKUP($A252,'Privacy Analyst Evaluation'!$A$46:$K$120,7,0)&amp;""</f>
        <v>Yes</v>
      </c>
      <c r="H252" s="4" t="str">
        <f>VLOOKUP($A252,'Privacy Analyst Evaluation'!$A$46:$K$120,8,0)&amp;""</f>
        <v/>
      </c>
      <c r="I252" s="4" t="str">
        <f>VLOOKUP($A252,'Privacy Analyst Evaluation'!$A$46:$K$120,9,0)&amp;""</f>
        <v>Standard Importance</v>
      </c>
      <c r="J252" s="4" t="str">
        <f>VLOOKUP($A252,'Privacy Analyst Evaluation'!$A$46:$K$120,10,0)&amp;""</f>
        <v/>
      </c>
      <c r="K252" s="4">
        <f>IF($I252='Auto Responses'!$J$11,20,IF($I252='Auto Responses'!$J$13,5,10))</f>
        <v>10</v>
      </c>
      <c r="L252" s="107">
        <f>IF($E252='Auto Responses'!$L$13, 'Auto Responses'!$J$5,IF(AND($D252='Auto Responses'!$J$27,$H252=""),'Auto Responses'!$J$5,IF(AND($D252='Auto Responses'!$J$27,$H252='Auto Responses'!$J$7),1,IF(AND($D252='Auto Responses'!$J$27,$H252='Auto Responses'!$J$8),0,IF(OR(AND($F252=$G252,$H252=""),$H252='Auto Responses'!$J$7),1,0)))))</f>
        <v>0</v>
      </c>
      <c r="M252" s="4" t="str">
        <f>VLOOKUP($A252,'Privacy Analyst Evaluation'!$A$46:$K$120,11,0)&amp;""</f>
        <v>FALSE</v>
      </c>
      <c r="N252" s="4">
        <f>IF($J252='Auto Responses'!$J$11,1,IF(AND($J252="",$I252='Auto Responses'!$J$11),1,0))</f>
        <v>0</v>
      </c>
      <c r="O252" s="107">
        <f>IF(OR($E252='Auto Responses'!$L$13,$F$24='Auto Responses'!$J$4,$F252='Auto Responses'!$J$5),'Auto Responses'!$J$5,IF($J252="",$K252,IF($J252='Auto Responses'!$J$13,5,IF($J252='Auto Responses'!$J$12,10,IF($J252='Auto Responses'!$J$11,20,0)))))</f>
        <v>10</v>
      </c>
      <c r="P252" s="107">
        <f>IF(OR($O252='Auto Responses'!$J$5,$L252='Auto Responses'!$J$5),'Auto Responses'!$J$5,$O252*$L252)</f>
        <v>0</v>
      </c>
      <c r="Q252" s="107">
        <f t="shared" si="21"/>
        <v>0</v>
      </c>
      <c r="R252" s="107">
        <f t="shared" si="26"/>
        <v>0</v>
      </c>
      <c r="S252" s="107">
        <f t="shared" si="22"/>
        <v>0</v>
      </c>
      <c r="T252" s="107">
        <f t="shared" si="23"/>
        <v>0</v>
      </c>
      <c r="U252" s="107">
        <f t="shared" si="27"/>
        <v>64</v>
      </c>
      <c r="V252" s="107">
        <f t="shared" si="24"/>
        <v>0</v>
      </c>
    </row>
    <row r="253" spans="1:22" ht="57" x14ac:dyDescent="0.2">
      <c r="A253" s="4" t="str">
        <f>Questions!$A253</f>
        <v>PCHG-02</v>
      </c>
      <c r="B253" s="4" t="str">
        <f t="shared" si="25"/>
        <v>PCHG</v>
      </c>
      <c r="C253" s="4" t="str">
        <f>VLOOKUP($A253,Questions!$A$3:$L$333,2,0)&amp;""</f>
        <v>Do you have policy and procedure, currently implemented, guiding how privacy risks are mitigated until they can be resolved?</v>
      </c>
      <c r="D253" s="4" t="str">
        <f>VLOOKUP($A253,Questions!$A$3:$L$333,11,0)&amp;""</f>
        <v/>
      </c>
      <c r="E253" s="4" t="str">
        <f>VLOOKUP($A253,Questions!$A$3:$L$333,12,0)&amp;""</f>
        <v>Privacy</v>
      </c>
      <c r="F253" s="4" t="str">
        <f>VLOOKUP($A253,'Privacy Analyst Evaluation'!$A$46:$K$120,3,0)&amp;""</f>
        <v/>
      </c>
      <c r="G253" s="4" t="str">
        <f>VLOOKUP($A253,'Privacy Analyst Evaluation'!$A$46:$K$120,7,0)&amp;""</f>
        <v>Yes</v>
      </c>
      <c r="H253" s="4" t="str">
        <f>VLOOKUP($A253,'Privacy Analyst Evaluation'!$A$46:$K$120,8,0)&amp;""</f>
        <v/>
      </c>
      <c r="I253" s="4" t="str">
        <f>VLOOKUP($A253,'Privacy Analyst Evaluation'!$A$46:$K$120,9,0)&amp;""</f>
        <v>Minor Importance</v>
      </c>
      <c r="J253" s="4" t="str">
        <f>VLOOKUP($A253,'Privacy Analyst Evaluation'!$A$46:$K$120,10,0)&amp;""</f>
        <v/>
      </c>
      <c r="K253" s="4">
        <f>IF($I253='Auto Responses'!$J$11,20,IF($I253='Auto Responses'!$J$13,5,10))</f>
        <v>5</v>
      </c>
      <c r="L253" s="107">
        <f>IF($E253='Auto Responses'!$L$13, 'Auto Responses'!$J$5,IF(AND($D253='Auto Responses'!$J$27,$H253=""),'Auto Responses'!$J$5,IF(AND($D253='Auto Responses'!$J$27,$H253='Auto Responses'!$J$7),1,IF(AND($D253='Auto Responses'!$J$27,$H253='Auto Responses'!$J$8),0,IF(OR(AND($F253=$G253,$H253=""),$H253='Auto Responses'!$J$7),1,0)))))</f>
        <v>0</v>
      </c>
      <c r="M253" s="4" t="str">
        <f>VLOOKUP($A253,'Privacy Analyst Evaluation'!$A$46:$K$120,11,0)&amp;""</f>
        <v>FALSE</v>
      </c>
      <c r="N253" s="4">
        <f>IF($J253='Auto Responses'!$J$11,1,IF(AND($J253="",$I253='Auto Responses'!$J$11),1,0))</f>
        <v>0</v>
      </c>
      <c r="O253" s="107">
        <f>IF(OR($E253='Auto Responses'!$L$13,$F$24='Auto Responses'!$J$4,$F253='Auto Responses'!$J$5),'Auto Responses'!$J$5,IF($J253="",$K253,IF($J253='Auto Responses'!$J$13,5,IF($J253='Auto Responses'!$J$12,10,IF($J253='Auto Responses'!$J$11,20,0)))))</f>
        <v>5</v>
      </c>
      <c r="P253" s="107">
        <f>IF(OR($O253='Auto Responses'!$J$5,$L253='Auto Responses'!$J$5),'Auto Responses'!$J$5,$O253*$L253)</f>
        <v>0</v>
      </c>
      <c r="Q253" s="107">
        <f t="shared" si="21"/>
        <v>0</v>
      </c>
      <c r="R253" s="107">
        <f t="shared" si="26"/>
        <v>0</v>
      </c>
      <c r="S253" s="107">
        <f t="shared" si="22"/>
        <v>0</v>
      </c>
      <c r="T253" s="107">
        <f t="shared" si="23"/>
        <v>0</v>
      </c>
      <c r="U253" s="107">
        <f t="shared" si="27"/>
        <v>64</v>
      </c>
      <c r="V253" s="107">
        <f t="shared" si="24"/>
        <v>0</v>
      </c>
    </row>
    <row r="254" spans="1:22" ht="57" x14ac:dyDescent="0.2">
      <c r="A254" s="4" t="str">
        <f>Questions!$A254</f>
        <v>PDAT-01</v>
      </c>
      <c r="B254" s="4" t="str">
        <f t="shared" si="25"/>
        <v>PDAT</v>
      </c>
      <c r="C254" s="4" t="str">
        <f>VLOOKUP($A254,Questions!$A$3:$L$333,2,0)&amp;""</f>
        <v>Do you collect, process, or store demographic information?*</v>
      </c>
      <c r="D254" s="4" t="str">
        <f>VLOOKUP($A254,Questions!$A$3:$L$333,11,0)&amp;""</f>
        <v/>
      </c>
      <c r="E254" s="4" t="str">
        <f>VLOOKUP($A254,Questions!$A$3:$L$333,12,0)&amp;""</f>
        <v>Privacy</v>
      </c>
      <c r="F254" s="4" t="str">
        <f>VLOOKUP($A254,'Privacy Analyst Evaluation'!$A$46:$K$120,3,0)&amp;""</f>
        <v/>
      </c>
      <c r="G254" s="4" t="str">
        <f>VLOOKUP($A254,'Privacy Analyst Evaluation'!$A$46:$K$120,7,0)&amp;""</f>
        <v>No</v>
      </c>
      <c r="H254" s="4" t="str">
        <f>VLOOKUP($A254,'Privacy Analyst Evaluation'!$A$46:$K$120,8,0)&amp;""</f>
        <v/>
      </c>
      <c r="I254" s="4" t="str">
        <f>VLOOKUP($A254,'Privacy Analyst Evaluation'!$A$46:$K$120,9,0)&amp;""</f>
        <v>Critical Importance</v>
      </c>
      <c r="J254" s="4" t="str">
        <f>VLOOKUP($A254,'Privacy Analyst Evaluation'!$A$46:$K$120,10,0)&amp;""</f>
        <v/>
      </c>
      <c r="K254" s="4">
        <f>IF($I254='Auto Responses'!$J$11,20,IF($I254='Auto Responses'!$J$13,5,10))</f>
        <v>20</v>
      </c>
      <c r="L254" s="107">
        <f>IF($E254='Auto Responses'!$L$13, 'Auto Responses'!$J$5,IF(AND($D254='Auto Responses'!$J$27,$H254=""),'Auto Responses'!$J$5,IF(AND($D254='Auto Responses'!$J$27,$H254='Auto Responses'!$J$7),1,IF(AND($D254='Auto Responses'!$J$27,$H254='Auto Responses'!$J$8),0,IF(OR(AND($F254=$G254,$H254=""),$H254='Auto Responses'!$J$7),1,0)))))</f>
        <v>0</v>
      </c>
      <c r="M254" s="4" t="str">
        <f>VLOOKUP($A254,'Privacy Analyst Evaluation'!$A$46:$K$120,11,0)&amp;""</f>
        <v>FALSE</v>
      </c>
      <c r="N254" s="4">
        <f>IF($J254='Auto Responses'!$J$11,1,IF(AND($J254="",$I254='Auto Responses'!$J$11),1,0))</f>
        <v>1</v>
      </c>
      <c r="O254" s="107">
        <f>IF(OR($E254='Auto Responses'!$L$13,$F$24='Auto Responses'!$J$4,$F254='Auto Responses'!$J$5),'Auto Responses'!$J$5,IF($J254="",$K254,IF($J254='Auto Responses'!$J$13,5,IF($J254='Auto Responses'!$J$12,10,IF($J254='Auto Responses'!$J$11,20,0)))))</f>
        <v>20</v>
      </c>
      <c r="P254" s="107">
        <f>IF(OR($O254='Auto Responses'!$J$5,$L254='Auto Responses'!$J$5),'Auto Responses'!$J$5,$O254*$L254)</f>
        <v>0</v>
      </c>
      <c r="Q254" s="107">
        <f t="shared" ref="Q254:Q316" si="32">IF(M254="TRUE",1,0)</f>
        <v>0</v>
      </c>
      <c r="R254" s="107">
        <f t="shared" si="26"/>
        <v>0</v>
      </c>
      <c r="S254" s="107">
        <f t="shared" ref="S254:S316" si="33">IF(Q254=0,0,R254)</f>
        <v>0</v>
      </c>
      <c r="T254" s="107">
        <f t="shared" ref="T254:T316" si="34">IF(N254=1,1,0)</f>
        <v>1</v>
      </c>
      <c r="U254" s="107">
        <f t="shared" si="27"/>
        <v>65</v>
      </c>
      <c r="V254" s="107">
        <f t="shared" ref="V254:V316" si="35">IF(T254=0,0,U254)</f>
        <v>65</v>
      </c>
    </row>
    <row r="255" spans="1:22" ht="57" x14ac:dyDescent="0.2">
      <c r="A255" s="4" t="str">
        <f>Questions!$A255</f>
        <v>PDAT-02</v>
      </c>
      <c r="B255" s="4" t="str">
        <f t="shared" ref="B255:B317" si="36">LEFT(A255,4)</f>
        <v>PDAT</v>
      </c>
      <c r="C255" s="4" t="str">
        <f>VLOOKUP($A255,Questions!$A$3:$L$333,2,0)&amp;""</f>
        <v>Do you capture or create genetic, biometric, or behaviometric information (e.g., facial recognition or fingerprints)?*</v>
      </c>
      <c r="D255" s="4" t="str">
        <f>VLOOKUP($A255,Questions!$A$3:$L$333,11,0)&amp;""</f>
        <v/>
      </c>
      <c r="E255" s="4" t="str">
        <f>VLOOKUP($A255,Questions!$A$3:$L$333,12,0)&amp;""</f>
        <v>Privacy</v>
      </c>
      <c r="F255" s="4" t="str">
        <f>VLOOKUP($A255,'Privacy Analyst Evaluation'!$A$46:$K$120,3,0)&amp;""</f>
        <v/>
      </c>
      <c r="G255" s="4" t="str">
        <f>VLOOKUP($A255,'Privacy Analyst Evaluation'!$A$46:$K$120,7,0)&amp;""</f>
        <v>No</v>
      </c>
      <c r="H255" s="4" t="str">
        <f>VLOOKUP($A255,'Privacy Analyst Evaluation'!$A$46:$K$120,8,0)&amp;""</f>
        <v/>
      </c>
      <c r="I255" s="4" t="str">
        <f>VLOOKUP($A255,'Privacy Analyst Evaluation'!$A$46:$K$120,9,0)&amp;""</f>
        <v>Critical Importance</v>
      </c>
      <c r="J255" s="4" t="str">
        <f>VLOOKUP($A255,'Privacy Analyst Evaluation'!$A$46:$K$120,10,0)&amp;""</f>
        <v/>
      </c>
      <c r="K255" s="4">
        <f>IF($I255='Auto Responses'!$J$11,20,IF($I255='Auto Responses'!$J$13,5,10))</f>
        <v>20</v>
      </c>
      <c r="L255" s="107">
        <f>IF($E255='Auto Responses'!$L$13, 'Auto Responses'!$J$5,IF(AND($D255='Auto Responses'!$J$27,$H255=""),'Auto Responses'!$J$5,IF(AND($D255='Auto Responses'!$J$27,$H255='Auto Responses'!$J$7),1,IF(AND($D255='Auto Responses'!$J$27,$H255='Auto Responses'!$J$8),0,IF(OR(AND($F255=$G255,$H255=""),$H255='Auto Responses'!$J$7),1,0)))))</f>
        <v>0</v>
      </c>
      <c r="M255" s="4" t="str">
        <f>VLOOKUP($A255,'Privacy Analyst Evaluation'!$A$46:$K$120,11,0)&amp;""</f>
        <v>FALSE</v>
      </c>
      <c r="N255" s="4">
        <f>IF($J255='Auto Responses'!$J$11,1,IF(AND($J255="",$I255='Auto Responses'!$J$11),1,0))</f>
        <v>1</v>
      </c>
      <c r="O255" s="107">
        <f>IF(OR($E255='Auto Responses'!$L$13,$F$24='Auto Responses'!$J$4,$F255='Auto Responses'!$J$5),'Auto Responses'!$J$5,IF($J255="",$K255,IF($J255='Auto Responses'!$J$13,5,IF($J255='Auto Responses'!$J$12,10,IF($J255='Auto Responses'!$J$11,20,0)))))</f>
        <v>20</v>
      </c>
      <c r="P255" s="107">
        <f>IF(OR($O255='Auto Responses'!$J$5,$L255='Auto Responses'!$J$5),'Auto Responses'!$J$5,$O255*$L255)</f>
        <v>0</v>
      </c>
      <c r="Q255" s="107">
        <f t="shared" si="32"/>
        <v>0</v>
      </c>
      <c r="R255" s="107">
        <f t="shared" si="26"/>
        <v>0</v>
      </c>
      <c r="S255" s="107">
        <f t="shared" si="33"/>
        <v>0</v>
      </c>
      <c r="T255" s="107">
        <f t="shared" si="34"/>
        <v>1</v>
      </c>
      <c r="U255" s="107">
        <f t="shared" si="27"/>
        <v>66</v>
      </c>
      <c r="V255" s="107">
        <f t="shared" si="35"/>
        <v>66</v>
      </c>
    </row>
    <row r="256" spans="1:22" ht="57" x14ac:dyDescent="0.2">
      <c r="A256" s="4" t="str">
        <f>Questions!$A256</f>
        <v>PDAT-03</v>
      </c>
      <c r="B256" s="4" t="str">
        <f t="shared" si="36"/>
        <v>PDAT</v>
      </c>
      <c r="C256" s="4" t="str">
        <f>VLOOKUP($A256,Questions!$A$3:$L$333,2,0)&amp;""</f>
        <v>Do you combine institutional data (including "de-identified," "anonymized," or otherwise masked data) with personal data from any other sources?*</v>
      </c>
      <c r="D256" s="4" t="str">
        <f>VLOOKUP($A256,Questions!$A$3:$L$333,11,0)&amp;""</f>
        <v/>
      </c>
      <c r="E256" s="4" t="str">
        <f>VLOOKUP($A256,Questions!$A$3:$L$333,12,0)&amp;""</f>
        <v>Privacy</v>
      </c>
      <c r="F256" s="4" t="str">
        <f>VLOOKUP($A256,'Privacy Analyst Evaluation'!$A$46:$K$120,3,0)&amp;""</f>
        <v/>
      </c>
      <c r="G256" s="4" t="str">
        <f>VLOOKUP($A256,'Privacy Analyst Evaluation'!$A$46:$K$120,7,0)&amp;""</f>
        <v>No</v>
      </c>
      <c r="H256" s="4" t="str">
        <f>VLOOKUP($A256,'Privacy Analyst Evaluation'!$A$46:$K$120,8,0)&amp;""</f>
        <v/>
      </c>
      <c r="I256" s="4" t="str">
        <f>VLOOKUP($A256,'Privacy Analyst Evaluation'!$A$46:$K$120,9,0)&amp;""</f>
        <v>Critical Importance</v>
      </c>
      <c r="J256" s="4" t="str">
        <f>VLOOKUP($A256,'Privacy Analyst Evaluation'!$A$46:$K$120,10,0)&amp;""</f>
        <v/>
      </c>
      <c r="K256" s="4">
        <f>IF($I256='Auto Responses'!$J$11,20,IF($I256='Auto Responses'!$J$13,5,10))</f>
        <v>20</v>
      </c>
      <c r="L256" s="107">
        <f>IF($E256='Auto Responses'!$L$13, 'Auto Responses'!$J$5,IF(AND($D256='Auto Responses'!$J$27,$H256=""),'Auto Responses'!$J$5,IF(AND($D256='Auto Responses'!$J$27,$H256='Auto Responses'!$J$7),1,IF(AND($D256='Auto Responses'!$J$27,$H256='Auto Responses'!$J$8),0,IF(OR(AND($F256=$G256,$H256=""),$H256='Auto Responses'!$J$7),1,0)))))</f>
        <v>0</v>
      </c>
      <c r="M256" s="4" t="str">
        <f>VLOOKUP($A256,'Privacy Analyst Evaluation'!$A$46:$K$120,11,0)&amp;""</f>
        <v>FALSE</v>
      </c>
      <c r="N256" s="4">
        <f>IF($J256='Auto Responses'!$J$11,1,IF(AND($J256="",$I256='Auto Responses'!$J$11),1,0))</f>
        <v>1</v>
      </c>
      <c r="O256" s="107">
        <f>IF(OR($E256='Auto Responses'!$L$13,$F$24='Auto Responses'!$J$4,$F256='Auto Responses'!$J$5),'Auto Responses'!$J$5,IF($J256="",$K256,IF($J256='Auto Responses'!$J$13,5,IF($J256='Auto Responses'!$J$12,10,IF($J256='Auto Responses'!$J$11,20,0)))))</f>
        <v>20</v>
      </c>
      <c r="P256" s="107">
        <f>IF(OR($O256='Auto Responses'!$J$5,$L256='Auto Responses'!$J$5),'Auto Responses'!$J$5,$O256*$L256)</f>
        <v>0</v>
      </c>
      <c r="Q256" s="107">
        <f t="shared" si="32"/>
        <v>0</v>
      </c>
      <c r="R256" s="107">
        <f t="shared" si="26"/>
        <v>0</v>
      </c>
      <c r="S256" s="107">
        <f t="shared" si="33"/>
        <v>0</v>
      </c>
      <c r="T256" s="107">
        <f t="shared" si="34"/>
        <v>1</v>
      </c>
      <c r="U256" s="107">
        <f t="shared" si="27"/>
        <v>67</v>
      </c>
      <c r="V256" s="107">
        <f t="shared" si="35"/>
        <v>67</v>
      </c>
    </row>
    <row r="257" spans="1:22" ht="57" x14ac:dyDescent="0.2">
      <c r="A257" s="4" t="str">
        <f>Questions!$A257</f>
        <v>PDAT-04</v>
      </c>
      <c r="B257" s="4" t="str">
        <f t="shared" si="36"/>
        <v>PDAT</v>
      </c>
      <c r="C257" s="4" t="str">
        <f>VLOOKUP($A257,Questions!$A$3:$L$333,2,0)&amp;""</f>
        <v>Is institutional data coming into or going out of the United States at any point during collection, processing, storage, or archiving?</v>
      </c>
      <c r="D257" s="4" t="str">
        <f>VLOOKUP($A257,Questions!$A$3:$L$333,11,0)&amp;""</f>
        <v/>
      </c>
      <c r="E257" s="4" t="str">
        <f>VLOOKUP($A257,Questions!$A$3:$L$333,12,0)&amp;""</f>
        <v>Privacy</v>
      </c>
      <c r="F257" s="4" t="str">
        <f>VLOOKUP($A257,'Privacy Analyst Evaluation'!$A$46:$K$120,3,0)&amp;""</f>
        <v/>
      </c>
      <c r="G257" s="4" t="str">
        <f>VLOOKUP($A257,'Privacy Analyst Evaluation'!$A$46:$K$120,7,0)&amp;""</f>
        <v>No</v>
      </c>
      <c r="H257" s="4" t="str">
        <f>VLOOKUP($A257,'Privacy Analyst Evaluation'!$A$46:$K$120,8,0)&amp;""</f>
        <v/>
      </c>
      <c r="I257" s="4" t="str">
        <f>VLOOKUP($A257,'Privacy Analyst Evaluation'!$A$46:$K$120,9,0)&amp;""</f>
        <v>Minor Importance</v>
      </c>
      <c r="J257" s="4" t="str">
        <f>VLOOKUP($A257,'Privacy Analyst Evaluation'!$A$46:$K$120,10,0)&amp;""</f>
        <v/>
      </c>
      <c r="K257" s="4">
        <f>IF($I257='Auto Responses'!$J$11,20,IF($I257='Auto Responses'!$J$13,5,10))</f>
        <v>5</v>
      </c>
      <c r="L257" s="107">
        <f>IF($E257='Auto Responses'!$L$13, 'Auto Responses'!$J$5,IF(AND($D257='Auto Responses'!$J$27,$H257=""),'Auto Responses'!$J$5,IF(AND($D257='Auto Responses'!$J$27,$H257='Auto Responses'!$J$7),1,IF(AND($D257='Auto Responses'!$J$27,$H257='Auto Responses'!$J$8),0,IF(OR(AND($F257=$G257,$H257=""),$H257='Auto Responses'!$J$7),1,0)))))</f>
        <v>0</v>
      </c>
      <c r="M257" s="4" t="str">
        <f>VLOOKUP($A257,'Privacy Analyst Evaluation'!$A$46:$K$120,11,0)&amp;""</f>
        <v>FALSE</v>
      </c>
      <c r="N257" s="4">
        <f>IF($J257='Auto Responses'!$J$11,1,IF(AND($J257="",$I257='Auto Responses'!$J$11),1,0))</f>
        <v>0</v>
      </c>
      <c r="O257" s="107">
        <f>IF(OR($E257='Auto Responses'!$L$13,$F$24='Auto Responses'!$J$4,$F257='Auto Responses'!$J$5),'Auto Responses'!$J$5,IF($J257="",$K257,IF($J257='Auto Responses'!$J$13,5,IF($J257='Auto Responses'!$J$12,10,IF($J257='Auto Responses'!$J$11,20,0)))))</f>
        <v>5</v>
      </c>
      <c r="P257" s="107">
        <f>IF(OR($O257='Auto Responses'!$J$5,$L257='Auto Responses'!$J$5),'Auto Responses'!$J$5,$O257*$L257)</f>
        <v>0</v>
      </c>
      <c r="Q257" s="107">
        <f t="shared" si="32"/>
        <v>0</v>
      </c>
      <c r="R257" s="107">
        <f t="shared" si="26"/>
        <v>0</v>
      </c>
      <c r="S257" s="107">
        <f t="shared" si="33"/>
        <v>0</v>
      </c>
      <c r="T257" s="107">
        <f t="shared" si="34"/>
        <v>0</v>
      </c>
      <c r="U257" s="107">
        <f t="shared" si="27"/>
        <v>67</v>
      </c>
      <c r="V257" s="107">
        <f t="shared" si="35"/>
        <v>0</v>
      </c>
    </row>
    <row r="258" spans="1:22" ht="57" x14ac:dyDescent="0.2">
      <c r="A258" s="4" t="str">
        <f>Questions!$A258</f>
        <v>PDAT-05</v>
      </c>
      <c r="B258" s="4" t="str">
        <f t="shared" si="36"/>
        <v>PDAT</v>
      </c>
      <c r="C258" s="4" t="str">
        <f>VLOOKUP($A258,Questions!$A$3:$L$333,2,0)&amp;""</f>
        <v>Do you capture device information (e.g., IP address, MAC address)?</v>
      </c>
      <c r="D258" s="4" t="str">
        <f>VLOOKUP($A258,Questions!$A$3:$L$333,11,0)&amp;""</f>
        <v/>
      </c>
      <c r="E258" s="4" t="str">
        <f>VLOOKUP($A258,Questions!$A$3:$L$333,12,0)&amp;""</f>
        <v>Privacy</v>
      </c>
      <c r="F258" s="4" t="str">
        <f>VLOOKUP($A258,'Privacy Analyst Evaluation'!$A$46:$K$120,3,0)&amp;""</f>
        <v/>
      </c>
      <c r="G258" s="4" t="str">
        <f>VLOOKUP($A258,'Privacy Analyst Evaluation'!$A$46:$K$120,7,0)&amp;""</f>
        <v>No</v>
      </c>
      <c r="H258" s="4" t="str">
        <f>VLOOKUP($A258,'Privacy Analyst Evaluation'!$A$46:$K$120,8,0)&amp;""</f>
        <v/>
      </c>
      <c r="I258" s="4" t="str">
        <f>VLOOKUP($A258,'Privacy Analyst Evaluation'!$A$46:$K$120,9,0)&amp;""</f>
        <v>Minor Importance</v>
      </c>
      <c r="J258" s="4" t="str">
        <f>VLOOKUP($A258,'Privacy Analyst Evaluation'!$A$46:$K$120,10,0)&amp;""</f>
        <v/>
      </c>
      <c r="K258" s="4">
        <f>IF($I258='Auto Responses'!$J$11,20,IF($I258='Auto Responses'!$J$13,5,10))</f>
        <v>5</v>
      </c>
      <c r="L258" s="107">
        <f>IF($E258='Auto Responses'!$L$13, 'Auto Responses'!$J$5,IF(AND($D258='Auto Responses'!$J$27,$H258=""),'Auto Responses'!$J$5,IF(AND($D258='Auto Responses'!$J$27,$H258='Auto Responses'!$J$7),1,IF(AND($D258='Auto Responses'!$J$27,$H258='Auto Responses'!$J$8),0,IF(OR(AND($F258=$G258,$H258=""),$H258='Auto Responses'!$J$7),1,0)))))</f>
        <v>0</v>
      </c>
      <c r="M258" s="4" t="str">
        <f>VLOOKUP($A258,'Privacy Analyst Evaluation'!$A$46:$K$120,11,0)&amp;""</f>
        <v>FALSE</v>
      </c>
      <c r="N258" s="4">
        <f>IF($J258='Auto Responses'!$J$11,1,IF(AND($J258="",$I258='Auto Responses'!$J$11),1,0))</f>
        <v>0</v>
      </c>
      <c r="O258" s="107">
        <f>IF(OR($E258='Auto Responses'!$L$13,$F$24='Auto Responses'!$J$4,$F258='Auto Responses'!$J$5),'Auto Responses'!$J$5,IF($J258="",$K258,IF($J258='Auto Responses'!$J$13,5,IF($J258='Auto Responses'!$J$12,10,IF($J258='Auto Responses'!$J$11,20,0)))))</f>
        <v>5</v>
      </c>
      <c r="P258" s="107">
        <f>IF(OR($O258='Auto Responses'!$J$5,$L258='Auto Responses'!$J$5),'Auto Responses'!$J$5,$O258*$L258)</f>
        <v>0</v>
      </c>
      <c r="Q258" s="107">
        <f t="shared" si="32"/>
        <v>0</v>
      </c>
      <c r="R258" s="107">
        <f t="shared" si="26"/>
        <v>0</v>
      </c>
      <c r="S258" s="107">
        <f t="shared" si="33"/>
        <v>0</v>
      </c>
      <c r="T258" s="107">
        <f t="shared" si="34"/>
        <v>0</v>
      </c>
      <c r="U258" s="107">
        <f t="shared" si="27"/>
        <v>67</v>
      </c>
      <c r="V258" s="107">
        <f t="shared" si="35"/>
        <v>0</v>
      </c>
    </row>
    <row r="259" spans="1:22" ht="57" x14ac:dyDescent="0.2">
      <c r="A259" s="4" t="str">
        <f>Questions!$A259</f>
        <v>PDAT-06</v>
      </c>
      <c r="B259" s="4" t="str">
        <f t="shared" si="36"/>
        <v>PDAT</v>
      </c>
      <c r="C259" s="4" t="str">
        <f>VLOOKUP($A259,Questions!$A$3:$L$333,2,0)&amp;""</f>
        <v>Does any part of this service/project involve a web/app tracking component (e.g., use of web-tracking pixels, cookies)?</v>
      </c>
      <c r="D259" s="4" t="str">
        <f>VLOOKUP($A259,Questions!$A$3:$L$333,11,0)&amp;""</f>
        <v/>
      </c>
      <c r="E259" s="4" t="str">
        <f>VLOOKUP($A259,Questions!$A$3:$L$333,12,0)&amp;""</f>
        <v>Privacy</v>
      </c>
      <c r="F259" s="4" t="str">
        <f>VLOOKUP($A259,'Privacy Analyst Evaluation'!$A$46:$K$120,3,0)&amp;""</f>
        <v/>
      </c>
      <c r="G259" s="4" t="str">
        <f>VLOOKUP($A259,'Privacy Analyst Evaluation'!$A$46:$K$120,7,0)&amp;""</f>
        <v>No</v>
      </c>
      <c r="H259" s="4" t="str">
        <f>VLOOKUP($A259,'Privacy Analyst Evaluation'!$A$46:$K$120,8,0)&amp;""</f>
        <v/>
      </c>
      <c r="I259" s="4" t="str">
        <f>VLOOKUP($A259,'Privacy Analyst Evaluation'!$A$46:$K$120,9,0)&amp;""</f>
        <v>Minor Importance</v>
      </c>
      <c r="J259" s="4" t="str">
        <f>VLOOKUP($A259,'Privacy Analyst Evaluation'!$A$46:$K$120,10,0)&amp;""</f>
        <v/>
      </c>
      <c r="K259" s="4">
        <f>IF($I259='Auto Responses'!$J$11,20,IF($I259='Auto Responses'!$J$13,5,10))</f>
        <v>5</v>
      </c>
      <c r="L259" s="107">
        <f>IF($E259='Auto Responses'!$L$13, 'Auto Responses'!$J$5,IF(AND($D259='Auto Responses'!$J$27,$H259=""),'Auto Responses'!$J$5,IF(AND($D259='Auto Responses'!$J$27,$H259='Auto Responses'!$J$7),1,IF(AND($D259='Auto Responses'!$J$27,$H259='Auto Responses'!$J$8),0,IF(OR(AND($F259=$G259,$H259=""),$H259='Auto Responses'!$J$7),1,0)))))</f>
        <v>0</v>
      </c>
      <c r="M259" s="4" t="str">
        <f>VLOOKUP($A259,'Privacy Analyst Evaluation'!$A$46:$K$120,11,0)&amp;""</f>
        <v>FALSE</v>
      </c>
      <c r="N259" s="4">
        <f>IF($J259='Auto Responses'!$J$11,1,IF(AND($J259="",$I259='Auto Responses'!$J$11),1,0))</f>
        <v>0</v>
      </c>
      <c r="O259" s="107">
        <f>IF(OR($E259='Auto Responses'!$L$13,$F$24='Auto Responses'!$J$4,$F259='Auto Responses'!$J$5),'Auto Responses'!$J$5,IF($J259="",$K259,IF($J259='Auto Responses'!$J$13,5,IF($J259='Auto Responses'!$J$12,10,IF($J259='Auto Responses'!$J$11,20,0)))))</f>
        <v>5</v>
      </c>
      <c r="P259" s="107">
        <f>IF(OR($O259='Auto Responses'!$J$5,$L259='Auto Responses'!$J$5),'Auto Responses'!$J$5,$O259*$L259)</f>
        <v>0</v>
      </c>
      <c r="Q259" s="107">
        <f t="shared" si="32"/>
        <v>0</v>
      </c>
      <c r="R259" s="107">
        <f t="shared" si="26"/>
        <v>0</v>
      </c>
      <c r="S259" s="107">
        <f t="shared" si="33"/>
        <v>0</v>
      </c>
      <c r="T259" s="107">
        <f t="shared" si="34"/>
        <v>0</v>
      </c>
      <c r="U259" s="107">
        <f t="shared" si="27"/>
        <v>67</v>
      </c>
      <c r="V259" s="107">
        <f t="shared" si="35"/>
        <v>0</v>
      </c>
    </row>
    <row r="260" spans="1:22" ht="57" x14ac:dyDescent="0.2">
      <c r="A260" s="4" t="str">
        <f>Questions!$A260</f>
        <v>PDAT-07</v>
      </c>
      <c r="B260" s="4" t="str">
        <f t="shared" si="36"/>
        <v>PDAT</v>
      </c>
      <c r="C260" s="4" t="str">
        <f>VLOOKUP($A260,Questions!$A$3:$L$333,2,0)&amp;""</f>
        <v>Does your staff (or a third party) have access to institutional data (e.g., financial, PHI, or other sensitive information) through any means?</v>
      </c>
      <c r="D260" s="4" t="str">
        <f>VLOOKUP($A260,Questions!$A$3:$L$333,11,0)&amp;""</f>
        <v/>
      </c>
      <c r="E260" s="4" t="str">
        <f>VLOOKUP($A260,Questions!$A$3:$L$333,12,0)&amp;""</f>
        <v>Privacy</v>
      </c>
      <c r="F260" s="4" t="str">
        <f>VLOOKUP($A260,'Privacy Analyst Evaluation'!$A$46:$K$120,3,0)&amp;""</f>
        <v/>
      </c>
      <c r="G260" s="4" t="str">
        <f>VLOOKUP($A260,'Privacy Analyst Evaluation'!$A$46:$K$120,7,0)&amp;""</f>
        <v>No</v>
      </c>
      <c r="H260" s="4" t="str">
        <f>VLOOKUP($A260,'Privacy Analyst Evaluation'!$A$46:$K$120,8,0)&amp;""</f>
        <v/>
      </c>
      <c r="I260" s="4" t="str">
        <f>VLOOKUP($A260,'Privacy Analyst Evaluation'!$A$46:$K$120,9,0)&amp;""</f>
        <v>Minor Importance</v>
      </c>
      <c r="J260" s="4" t="str">
        <f>VLOOKUP($A260,'Privacy Analyst Evaluation'!$A$46:$K$120,10,0)&amp;""</f>
        <v/>
      </c>
      <c r="K260" s="4">
        <f>IF($I260='Auto Responses'!$J$11,20,IF($I260='Auto Responses'!$J$13,5,10))</f>
        <v>5</v>
      </c>
      <c r="L260" s="107">
        <f>IF($E260='Auto Responses'!$L$13, 'Auto Responses'!$J$5,IF(AND($D260='Auto Responses'!$J$27,$H260=""),'Auto Responses'!$J$5,IF(AND($D260='Auto Responses'!$J$27,$H260='Auto Responses'!$J$7),1,IF(AND($D260='Auto Responses'!$J$27,$H260='Auto Responses'!$J$8),0,IF(OR(AND($F260=$G260,$H260=""),$H260='Auto Responses'!$J$7),1,0)))))</f>
        <v>0</v>
      </c>
      <c r="M260" s="4" t="str">
        <f>VLOOKUP($A260,'Privacy Analyst Evaluation'!$A$46:$K$120,11,0)&amp;""</f>
        <v>FALSE</v>
      </c>
      <c r="N260" s="4">
        <f>IF($J260='Auto Responses'!$J$11,1,IF(AND($J260="",$I260='Auto Responses'!$J$11),1,0))</f>
        <v>0</v>
      </c>
      <c r="O260" s="107">
        <f>IF(OR($E260='Auto Responses'!$L$13,$F$24='Auto Responses'!$J$4,$F260='Auto Responses'!$J$5),'Auto Responses'!$J$5,IF($J260="",$K260,IF($J260='Auto Responses'!$J$13,5,IF($J260='Auto Responses'!$J$12,10,IF($J260='Auto Responses'!$J$11,20,0)))))</f>
        <v>5</v>
      </c>
      <c r="P260" s="107">
        <f>IF(OR($O260='Auto Responses'!$J$5,$L260='Auto Responses'!$J$5),'Auto Responses'!$J$5,$O260*$L260)</f>
        <v>0</v>
      </c>
      <c r="Q260" s="107">
        <f t="shared" si="32"/>
        <v>0</v>
      </c>
      <c r="R260" s="107">
        <f t="shared" si="26"/>
        <v>0</v>
      </c>
      <c r="S260" s="107">
        <f t="shared" si="33"/>
        <v>0</v>
      </c>
      <c r="T260" s="107">
        <f t="shared" si="34"/>
        <v>0</v>
      </c>
      <c r="U260" s="107">
        <f t="shared" si="27"/>
        <v>67</v>
      </c>
      <c r="V260" s="107">
        <f t="shared" si="35"/>
        <v>0</v>
      </c>
    </row>
    <row r="261" spans="1:22" ht="57" x14ac:dyDescent="0.2">
      <c r="A261" s="4" t="str">
        <f>Questions!$A261</f>
        <v>PDAT-08</v>
      </c>
      <c r="B261" s="4" t="str">
        <f t="shared" si="36"/>
        <v>PDAT</v>
      </c>
      <c r="C261" s="4" t="str">
        <f>VLOOKUP($A261,Questions!$A$3:$L$333,2,0)&amp;""</f>
        <v>Will you handle personal data in a manner compliant with all relevant laws, regulations, and applicable institution policies?</v>
      </c>
      <c r="D261" s="4" t="str">
        <f>VLOOKUP($A261,Questions!$A$3:$L$333,11,0)&amp;""</f>
        <v/>
      </c>
      <c r="E261" s="4" t="str">
        <f>VLOOKUP($A261,Questions!$A$3:$L$333,12,0)&amp;""</f>
        <v>Not scored</v>
      </c>
      <c r="F261" s="4" t="str">
        <f>VLOOKUP($A261,'Privacy Analyst Evaluation'!$A$46:$K$120,3,0)&amp;""</f>
        <v/>
      </c>
      <c r="G261" s="4" t="str">
        <f>VLOOKUP($A261,'Privacy Analyst Evaluation'!$A$46:$K$120,7,0)&amp;""</f>
        <v>Not scored</v>
      </c>
      <c r="H261" s="4" t="str">
        <f>VLOOKUP($A261,'Privacy Analyst Evaluation'!$A$46:$K$120,8,0)&amp;""</f>
        <v/>
      </c>
      <c r="I261" s="4" t="str">
        <f>VLOOKUP($A261,'Privacy Analyst Evaluation'!$A$46:$K$120,9,0)&amp;""</f>
        <v/>
      </c>
      <c r="J261" s="4" t="str">
        <f>VLOOKUP($A261,'Privacy Analyst Evaluation'!$A$46:$K$120,10,0)&amp;""</f>
        <v/>
      </c>
      <c r="K261" s="4">
        <f>IF($I261='Auto Responses'!$J$11,20,IF($I261='Auto Responses'!$J$13,5,10))</f>
        <v>10</v>
      </c>
      <c r="L261" s="107" t="str">
        <f>IF($E261='Auto Responses'!$L$13, 'Auto Responses'!$J$5,IF(AND($D261='Auto Responses'!$J$27,$H261=""),'Auto Responses'!$J$5,IF(AND($D261='Auto Responses'!$J$27,$H261='Auto Responses'!$J$7),1,IF(AND($D261='Auto Responses'!$J$27,$H261='Auto Responses'!$J$8),0,IF(OR(AND($F261=$G261,$H261=""),$H261='Auto Responses'!$J$7),1,0)))))</f>
        <v>N/A</v>
      </c>
      <c r="M261" s="4" t="str">
        <f>VLOOKUP($A261,'Privacy Analyst Evaluation'!$A$46:$K$120,11,0)&amp;""</f>
        <v>FALSE</v>
      </c>
      <c r="N261" s="4">
        <f>IF($J261='Auto Responses'!$J$11,1,IF(AND($J261="",$I261='Auto Responses'!$J$11),1,0))</f>
        <v>0</v>
      </c>
      <c r="O261" s="107" t="str">
        <f>IF(OR($E261='Auto Responses'!$L$13,$F$24='Auto Responses'!$J$4,$F261='Auto Responses'!$J$5),'Auto Responses'!$J$5,IF($J261="",$K261,IF($J261='Auto Responses'!$J$13,5,IF($J261='Auto Responses'!$J$12,10,IF($J261='Auto Responses'!$J$11,20,0)))))</f>
        <v>N/A</v>
      </c>
      <c r="P261" s="107" t="str">
        <f>IF(OR($O261='Auto Responses'!$J$5,$L261='Auto Responses'!$J$5),'Auto Responses'!$J$5,$O261*$L261)</f>
        <v>N/A</v>
      </c>
      <c r="Q261" s="107">
        <f t="shared" si="32"/>
        <v>0</v>
      </c>
      <c r="R261" s="107">
        <f t="shared" ref="R261:R324" si="37">R260+Q261</f>
        <v>0</v>
      </c>
      <c r="S261" s="107">
        <f t="shared" si="33"/>
        <v>0</v>
      </c>
      <c r="T261" s="107">
        <f t="shared" si="34"/>
        <v>0</v>
      </c>
      <c r="U261" s="107">
        <f t="shared" ref="U261:U324" si="38">U260+T261</f>
        <v>67</v>
      </c>
      <c r="V261" s="107">
        <f t="shared" si="35"/>
        <v>0</v>
      </c>
    </row>
    <row r="262" spans="1:22" ht="57" x14ac:dyDescent="0.2">
      <c r="A262" s="4" t="str">
        <f>Questions!$A262</f>
        <v>PRPO-01</v>
      </c>
      <c r="B262" s="4" t="str">
        <f t="shared" si="36"/>
        <v>PRPO</v>
      </c>
      <c r="C262" s="4" t="str">
        <f>VLOOKUP($A262,Questions!$A$3:$L$333,2,0)&amp;""</f>
        <v>Do you have a documented privacy management process?</v>
      </c>
      <c r="D262" s="4" t="str">
        <f>VLOOKUP($A262,Questions!$A$3:$L$333,11,0)&amp;""</f>
        <v/>
      </c>
      <c r="E262" s="4" t="str">
        <f>VLOOKUP($A262,Questions!$A$3:$L$333,12,0)&amp;""</f>
        <v>Privacy</v>
      </c>
      <c r="F262" s="4" t="str">
        <f>VLOOKUP($A262,'Privacy Analyst Evaluation'!$A$46:$K$120,3,0)&amp;""</f>
        <v/>
      </c>
      <c r="G262" s="4" t="str">
        <f>VLOOKUP($A262,'Privacy Analyst Evaluation'!$A$46:$K$120,7,0)&amp;""</f>
        <v>Yes</v>
      </c>
      <c r="H262" s="4" t="str">
        <f>VLOOKUP($A262,'Privacy Analyst Evaluation'!$A$46:$K$120,8,0)&amp;""</f>
        <v/>
      </c>
      <c r="I262" s="4" t="str">
        <f>VLOOKUP($A262,'Privacy Analyst Evaluation'!$A$46:$K$120,9,0)&amp;""</f>
        <v>Minor Importance</v>
      </c>
      <c r="J262" s="4" t="str">
        <f>VLOOKUP($A262,'Privacy Analyst Evaluation'!$A$46:$K$120,10,0)&amp;""</f>
        <v/>
      </c>
      <c r="K262" s="4">
        <f>IF($I262='Auto Responses'!$J$11,20,IF($I262='Auto Responses'!$J$13,5,10))</f>
        <v>5</v>
      </c>
      <c r="L262" s="107">
        <f>IF($E262='Auto Responses'!$L$13, 'Auto Responses'!$J$5,IF(AND($D262='Auto Responses'!$J$27,$H262=""),'Auto Responses'!$J$5,IF(AND($D262='Auto Responses'!$J$27,$H262='Auto Responses'!$J$7),1,IF(AND($D262='Auto Responses'!$J$27,$H262='Auto Responses'!$J$8),0,IF(OR(AND($F262=$G262,$H262=""),$H262='Auto Responses'!$J$7),1,0)))))</f>
        <v>0</v>
      </c>
      <c r="M262" s="4" t="str">
        <f>VLOOKUP($A262,'Privacy Analyst Evaluation'!$A$46:$K$120,11,0)&amp;""</f>
        <v>FALSE</v>
      </c>
      <c r="N262" s="4">
        <f>IF($J262='Auto Responses'!$J$11,1,IF(AND($J262="",$I262='Auto Responses'!$J$11),1,0))</f>
        <v>0</v>
      </c>
      <c r="O262" s="107">
        <f>IF(OR($E262='Auto Responses'!$L$13,$F$24='Auto Responses'!$J$4,$F262='Auto Responses'!$J$5),'Auto Responses'!$J$5,IF($J262="",$K262,IF($J262='Auto Responses'!$J$13,5,IF($J262='Auto Responses'!$J$12,10,IF($J262='Auto Responses'!$J$11,20,0)))))</f>
        <v>5</v>
      </c>
      <c r="P262" s="107">
        <f>IF(OR($O262='Auto Responses'!$J$5,$L262='Auto Responses'!$J$5),'Auto Responses'!$J$5,$O262*$L262)</f>
        <v>0</v>
      </c>
      <c r="Q262" s="107">
        <f t="shared" si="32"/>
        <v>0</v>
      </c>
      <c r="R262" s="107">
        <f t="shared" si="37"/>
        <v>0</v>
      </c>
      <c r="S262" s="107">
        <f t="shared" si="33"/>
        <v>0</v>
      </c>
      <c r="T262" s="107">
        <f t="shared" si="34"/>
        <v>0</v>
      </c>
      <c r="U262" s="107">
        <f t="shared" si="38"/>
        <v>67</v>
      </c>
      <c r="V262" s="107">
        <f t="shared" si="35"/>
        <v>0</v>
      </c>
    </row>
    <row r="263" spans="1:22" ht="57" x14ac:dyDescent="0.2">
      <c r="A263" s="4" t="str">
        <f>Questions!$A263</f>
        <v>PRPO-02</v>
      </c>
      <c r="B263" s="4" t="str">
        <f t="shared" si="36"/>
        <v>PRPO</v>
      </c>
      <c r="C263" s="4" t="str">
        <f>VLOOKUP($A263,Questions!$A$3:$L$333,2,0)&amp;""</f>
        <v>Are privacy principles designed into the product lifecycle (i.e., privacy-by-design)?</v>
      </c>
      <c r="D263" s="4" t="str">
        <f>VLOOKUP($A263,Questions!$A$3:$L$333,11,0)&amp;""</f>
        <v/>
      </c>
      <c r="E263" s="4" t="str">
        <f>VLOOKUP($A263,Questions!$A$3:$L$333,12,0)&amp;""</f>
        <v>Privacy</v>
      </c>
      <c r="F263" s="4" t="str">
        <f>VLOOKUP($A263,'Privacy Analyst Evaluation'!$A$46:$K$120,3,0)&amp;""</f>
        <v/>
      </c>
      <c r="G263" s="4" t="str">
        <f>VLOOKUP($A263,'Privacy Analyst Evaluation'!$A$46:$K$120,7,0)&amp;""</f>
        <v>Yes</v>
      </c>
      <c r="H263" s="4" t="str">
        <f>VLOOKUP($A263,'Privacy Analyst Evaluation'!$A$46:$K$120,8,0)&amp;""</f>
        <v/>
      </c>
      <c r="I263" s="4" t="str">
        <f>VLOOKUP($A263,'Privacy Analyst Evaluation'!$A$46:$K$120,9,0)&amp;""</f>
        <v>Minor Importance</v>
      </c>
      <c r="J263" s="4" t="str">
        <f>VLOOKUP($A263,'Privacy Analyst Evaluation'!$A$46:$K$120,10,0)&amp;""</f>
        <v/>
      </c>
      <c r="K263" s="4">
        <f>IF($I263='Auto Responses'!$J$11,20,IF($I263='Auto Responses'!$J$13,5,10))</f>
        <v>5</v>
      </c>
      <c r="L263" s="107">
        <f>IF($E263='Auto Responses'!$L$13, 'Auto Responses'!$J$5,IF(AND($D263='Auto Responses'!$J$27,$H263=""),'Auto Responses'!$J$5,IF(AND($D263='Auto Responses'!$J$27,$H263='Auto Responses'!$J$7),1,IF(AND($D263='Auto Responses'!$J$27,$H263='Auto Responses'!$J$8),0,IF(OR(AND($F263=$G263,$H263=""),$H263='Auto Responses'!$J$7),1,0)))))</f>
        <v>0</v>
      </c>
      <c r="M263" s="4" t="str">
        <f>VLOOKUP($A263,'Privacy Analyst Evaluation'!$A$46:$K$120,11,0)&amp;""</f>
        <v>FALSE</v>
      </c>
      <c r="N263" s="4">
        <f>IF($J263='Auto Responses'!$J$11,1,IF(AND($J263="",$I263='Auto Responses'!$J$11),1,0))</f>
        <v>0</v>
      </c>
      <c r="O263" s="107">
        <f>IF(OR($E263='Auto Responses'!$L$13,$F$24='Auto Responses'!$J$4,$F263='Auto Responses'!$J$5),'Auto Responses'!$J$5,IF($J263="",$K263,IF($J263='Auto Responses'!$J$13,5,IF($J263='Auto Responses'!$J$12,10,IF($J263='Auto Responses'!$J$11,20,0)))))</f>
        <v>5</v>
      </c>
      <c r="P263" s="107">
        <f>IF(OR($O263='Auto Responses'!$J$5,$L263='Auto Responses'!$J$5),'Auto Responses'!$J$5,$O263*$L263)</f>
        <v>0</v>
      </c>
      <c r="Q263" s="107">
        <f t="shared" si="32"/>
        <v>0</v>
      </c>
      <c r="R263" s="107">
        <f t="shared" si="37"/>
        <v>0</v>
      </c>
      <c r="S263" s="107">
        <f t="shared" si="33"/>
        <v>0</v>
      </c>
      <c r="T263" s="107">
        <f t="shared" si="34"/>
        <v>0</v>
      </c>
      <c r="U263" s="107">
        <f t="shared" si="38"/>
        <v>67</v>
      </c>
      <c r="V263" s="107">
        <f t="shared" si="35"/>
        <v>0</v>
      </c>
    </row>
    <row r="264" spans="1:22" ht="57" x14ac:dyDescent="0.2">
      <c r="A264" s="4" t="str">
        <f>Questions!$A264</f>
        <v>PRPO-03</v>
      </c>
      <c r="B264" s="4" t="str">
        <f t="shared" si="36"/>
        <v>PRPO</v>
      </c>
      <c r="C264" s="4" t="str">
        <f>VLOOKUP($A264,Questions!$A$3:$L$333,2,0)&amp;""</f>
        <v>Will you comply with applicable breach notification laws?</v>
      </c>
      <c r="D264" s="4" t="str">
        <f>VLOOKUP($A264,Questions!$A$3:$L$333,11,0)&amp;""</f>
        <v/>
      </c>
      <c r="E264" s="4" t="str">
        <f>VLOOKUP($A264,Questions!$A$3:$L$333,12,0)&amp;""</f>
        <v>Privacy</v>
      </c>
      <c r="F264" s="4" t="str">
        <f>VLOOKUP($A264,'Privacy Analyst Evaluation'!$A$46:$K$120,3,0)&amp;""</f>
        <v/>
      </c>
      <c r="G264" s="4" t="str">
        <f>VLOOKUP($A264,'Privacy Analyst Evaluation'!$A$46:$K$120,7,0)&amp;""</f>
        <v>Yes</v>
      </c>
      <c r="H264" s="4" t="str">
        <f>VLOOKUP($A264,'Privacy Analyst Evaluation'!$A$46:$K$120,8,0)&amp;""</f>
        <v/>
      </c>
      <c r="I264" s="4" t="str">
        <f>VLOOKUP($A264,'Privacy Analyst Evaluation'!$A$46:$K$120,9,0)&amp;""</f>
        <v>Standard Importance</v>
      </c>
      <c r="J264" s="4" t="str">
        <f>VLOOKUP($A264,'Privacy Analyst Evaluation'!$A$46:$K$120,10,0)&amp;""</f>
        <v/>
      </c>
      <c r="K264" s="4">
        <f>IF($I264='Auto Responses'!$J$11,20,IF($I264='Auto Responses'!$J$13,5,10))</f>
        <v>10</v>
      </c>
      <c r="L264" s="107">
        <f>IF($E264='Auto Responses'!$L$13, 'Auto Responses'!$J$5,IF(AND($D264='Auto Responses'!$J$27,$H264=""),'Auto Responses'!$J$5,IF(AND($D264='Auto Responses'!$J$27,$H264='Auto Responses'!$J$7),1,IF(AND($D264='Auto Responses'!$J$27,$H264='Auto Responses'!$J$8),0,IF(OR(AND($F264=$G264,$H264=""),$H264='Auto Responses'!$J$7),1,0)))))</f>
        <v>0</v>
      </c>
      <c r="M264" s="4" t="str">
        <f>VLOOKUP($A264,'Privacy Analyst Evaluation'!$A$46:$K$120,11,0)&amp;""</f>
        <v>FALSE</v>
      </c>
      <c r="N264" s="4">
        <f>IF($J264='Auto Responses'!$J$11,1,IF(AND($J264="",$I264='Auto Responses'!$J$11),1,0))</f>
        <v>0</v>
      </c>
      <c r="O264" s="107">
        <f>IF(OR($E264='Auto Responses'!$L$13,$F$24='Auto Responses'!$J$4,$F264='Auto Responses'!$J$5),'Auto Responses'!$J$5,IF($J264="",$K264,IF($J264='Auto Responses'!$J$13,5,IF($J264='Auto Responses'!$J$12,10,IF($J264='Auto Responses'!$J$11,20,0)))))</f>
        <v>10</v>
      </c>
      <c r="P264" s="107">
        <f>IF(OR($O264='Auto Responses'!$J$5,$L264='Auto Responses'!$J$5),'Auto Responses'!$J$5,$O264*$L264)</f>
        <v>0</v>
      </c>
      <c r="Q264" s="107">
        <f t="shared" si="32"/>
        <v>0</v>
      </c>
      <c r="R264" s="107">
        <f t="shared" si="37"/>
        <v>0</v>
      </c>
      <c r="S264" s="107">
        <f t="shared" si="33"/>
        <v>0</v>
      </c>
      <c r="T264" s="107">
        <f t="shared" si="34"/>
        <v>0</v>
      </c>
      <c r="U264" s="107">
        <f t="shared" si="38"/>
        <v>67</v>
      </c>
      <c r="V264" s="107">
        <f t="shared" si="35"/>
        <v>0</v>
      </c>
    </row>
    <row r="265" spans="1:22" ht="57" x14ac:dyDescent="0.2">
      <c r="A265" s="4" t="str">
        <f>Questions!$A265</f>
        <v>PRPO-04</v>
      </c>
      <c r="B265" s="4" t="str">
        <f t="shared" si="36"/>
        <v>PRPO</v>
      </c>
      <c r="C265" s="4" t="str">
        <f>VLOOKUP($A265,Questions!$A$3:$L$333,2,0)&amp;""</f>
        <v>Will you comply with the institution's policies regarding user privacy and data protection?</v>
      </c>
      <c r="D265" s="4" t="str">
        <f>VLOOKUP($A265,Questions!$A$3:$L$333,11,0)&amp;""</f>
        <v/>
      </c>
      <c r="E265" s="4" t="str">
        <f>VLOOKUP($A265,Questions!$A$3:$L$333,12,0)&amp;""</f>
        <v>Privacy</v>
      </c>
      <c r="F265" s="4" t="str">
        <f>VLOOKUP($A265,'Privacy Analyst Evaluation'!$A$46:$K$120,3,0)&amp;""</f>
        <v/>
      </c>
      <c r="G265" s="4" t="str">
        <f>VLOOKUP($A265,'Privacy Analyst Evaluation'!$A$46:$K$120,7,0)&amp;""</f>
        <v>Yes</v>
      </c>
      <c r="H265" s="4" t="str">
        <f>VLOOKUP($A265,'Privacy Analyst Evaluation'!$A$46:$K$120,8,0)&amp;""</f>
        <v/>
      </c>
      <c r="I265" s="4" t="str">
        <f>VLOOKUP($A265,'Privacy Analyst Evaluation'!$A$46:$K$120,9,0)&amp;""</f>
        <v>Minor Importance</v>
      </c>
      <c r="J265" s="4" t="str">
        <f>VLOOKUP($A265,'Privacy Analyst Evaluation'!$A$46:$K$120,10,0)&amp;""</f>
        <v/>
      </c>
      <c r="K265" s="4">
        <f>IF($I265='Auto Responses'!$J$11,20,IF($I265='Auto Responses'!$J$13,5,10))</f>
        <v>5</v>
      </c>
      <c r="L265" s="107">
        <f>IF($E265='Auto Responses'!$L$13, 'Auto Responses'!$J$5,IF(AND($D265='Auto Responses'!$J$27,$H265=""),'Auto Responses'!$J$5,IF(AND($D265='Auto Responses'!$J$27,$H265='Auto Responses'!$J$7),1,IF(AND($D265='Auto Responses'!$J$27,$H265='Auto Responses'!$J$8),0,IF(OR(AND($F265=$G265,$H265=""),$H265='Auto Responses'!$J$7),1,0)))))</f>
        <v>0</v>
      </c>
      <c r="M265" s="4" t="str">
        <f>VLOOKUP($A265,'Privacy Analyst Evaluation'!$A$46:$K$120,11,0)&amp;""</f>
        <v>FALSE</v>
      </c>
      <c r="N265" s="4">
        <f>IF($J265='Auto Responses'!$J$11,1,IF(AND($J265="",$I265='Auto Responses'!$J$11),1,0))</f>
        <v>0</v>
      </c>
      <c r="O265" s="107">
        <f>IF(OR($E265='Auto Responses'!$L$13,$F$24='Auto Responses'!$J$4,$F265='Auto Responses'!$J$5),'Auto Responses'!$J$5,IF($J265="",$K265,IF($J265='Auto Responses'!$J$13,5,IF($J265='Auto Responses'!$J$12,10,IF($J265='Auto Responses'!$J$11,20,0)))))</f>
        <v>5</v>
      </c>
      <c r="P265" s="107">
        <f>IF(OR($O265='Auto Responses'!$J$5,$L265='Auto Responses'!$J$5),'Auto Responses'!$J$5,$O265*$L265)</f>
        <v>0</v>
      </c>
      <c r="Q265" s="107">
        <f t="shared" si="32"/>
        <v>0</v>
      </c>
      <c r="R265" s="107">
        <f t="shared" si="37"/>
        <v>0</v>
      </c>
      <c r="S265" s="107">
        <f t="shared" si="33"/>
        <v>0</v>
      </c>
      <c r="T265" s="107">
        <f t="shared" si="34"/>
        <v>0</v>
      </c>
      <c r="U265" s="107">
        <f t="shared" si="38"/>
        <v>67</v>
      </c>
      <c r="V265" s="107">
        <f t="shared" si="35"/>
        <v>0</v>
      </c>
    </row>
    <row r="266" spans="1:22" ht="57" x14ac:dyDescent="0.2">
      <c r="A266" s="4" t="str">
        <f>Questions!$A266</f>
        <v>PRPO-05</v>
      </c>
      <c r="B266" s="4" t="str">
        <f t="shared" si="36"/>
        <v>PRPO</v>
      </c>
      <c r="C266" s="4" t="str">
        <f>VLOOKUP($A266,Questions!$A$3:$L$333,2,0)&amp;""</f>
        <v>Is your company subject to the laws and regulations of the institution's geographic region?</v>
      </c>
      <c r="D266" s="4" t="str">
        <f>VLOOKUP($A266,Questions!$A$3:$L$333,11,0)&amp;""</f>
        <v/>
      </c>
      <c r="E266" s="4" t="str">
        <f>VLOOKUP($A266,Questions!$A$3:$L$333,12,0)&amp;""</f>
        <v>Privacy</v>
      </c>
      <c r="F266" s="4" t="str">
        <f>VLOOKUP($A266,'Privacy Analyst Evaluation'!$A$46:$K$120,3,0)&amp;""</f>
        <v/>
      </c>
      <c r="G266" s="4" t="str">
        <f>VLOOKUP($A266,'Privacy Analyst Evaluation'!$A$46:$K$120,7,0)&amp;""</f>
        <v>Yes</v>
      </c>
      <c r="H266" s="4" t="str">
        <f>VLOOKUP($A266,'Privacy Analyst Evaluation'!$A$46:$K$120,8,0)&amp;""</f>
        <v/>
      </c>
      <c r="I266" s="4" t="str">
        <f>VLOOKUP($A266,'Privacy Analyst Evaluation'!$A$46:$K$120,9,0)&amp;""</f>
        <v>Minor Importance</v>
      </c>
      <c r="J266" s="4" t="str">
        <f>VLOOKUP($A266,'Privacy Analyst Evaluation'!$A$46:$K$120,10,0)&amp;""</f>
        <v/>
      </c>
      <c r="K266" s="4">
        <f>IF($I266='Auto Responses'!$J$11,20,IF($I266='Auto Responses'!$J$13,5,10))</f>
        <v>5</v>
      </c>
      <c r="L266" s="107">
        <f>IF($E266='Auto Responses'!$L$13, 'Auto Responses'!$J$5,IF(AND($D266='Auto Responses'!$J$27,$H266=""),'Auto Responses'!$J$5,IF(AND($D266='Auto Responses'!$J$27,$H266='Auto Responses'!$J$7),1,IF(AND($D266='Auto Responses'!$J$27,$H266='Auto Responses'!$J$8),0,IF(OR(AND($F266=$G266,$H266=""),$H266='Auto Responses'!$J$7),1,0)))))</f>
        <v>0</v>
      </c>
      <c r="M266" s="4" t="str">
        <f>VLOOKUP($A266,'Privacy Analyst Evaluation'!$A$46:$K$120,11,0)&amp;""</f>
        <v>FALSE</v>
      </c>
      <c r="N266" s="4">
        <f>IF($J266='Auto Responses'!$J$11,1,IF(AND($J266="",$I266='Auto Responses'!$J$11),1,0))</f>
        <v>0</v>
      </c>
      <c r="O266" s="107">
        <f>IF(OR($E266='Auto Responses'!$L$13,$F$24='Auto Responses'!$J$4,$F266='Auto Responses'!$J$5),'Auto Responses'!$J$5,IF($J266="",$K266,IF($J266='Auto Responses'!$J$13,5,IF($J266='Auto Responses'!$J$12,10,IF($J266='Auto Responses'!$J$11,20,0)))))</f>
        <v>5</v>
      </c>
      <c r="P266" s="107">
        <f>IF(OR($O266='Auto Responses'!$J$5,$L266='Auto Responses'!$J$5),'Auto Responses'!$J$5,$O266*$L266)</f>
        <v>0</v>
      </c>
      <c r="Q266" s="107">
        <f t="shared" si="32"/>
        <v>0</v>
      </c>
      <c r="R266" s="107">
        <f t="shared" si="37"/>
        <v>0</v>
      </c>
      <c r="S266" s="107">
        <f t="shared" si="33"/>
        <v>0</v>
      </c>
      <c r="T266" s="107">
        <f t="shared" si="34"/>
        <v>0</v>
      </c>
      <c r="U266" s="107">
        <f t="shared" si="38"/>
        <v>67</v>
      </c>
      <c r="V266" s="107">
        <f t="shared" si="35"/>
        <v>0</v>
      </c>
    </row>
    <row r="267" spans="1:22" ht="57" x14ac:dyDescent="0.2">
      <c r="A267" s="4" t="str">
        <f>Questions!$A267</f>
        <v>PRPO-06</v>
      </c>
      <c r="B267" s="4" t="str">
        <f t="shared" si="36"/>
        <v>PRPO</v>
      </c>
      <c r="C267" s="4" t="str">
        <f>VLOOKUP($A267,Questions!$A$3:$L$333,2,0)&amp;""</f>
        <v>Do you have a privacy awareness/training program?*</v>
      </c>
      <c r="D267" s="4" t="str">
        <f>VLOOKUP($A267,Questions!$A$3:$L$333,11,0)&amp;""</f>
        <v/>
      </c>
      <c r="E267" s="4" t="str">
        <f>VLOOKUP($A267,Questions!$A$3:$L$333,12,0)&amp;""</f>
        <v>Privacy</v>
      </c>
      <c r="F267" s="4" t="str">
        <f>VLOOKUP($A267,'Privacy Analyst Evaluation'!$A$46:$K$120,3,0)&amp;""</f>
        <v/>
      </c>
      <c r="G267" s="4" t="str">
        <f>VLOOKUP($A267,'Privacy Analyst Evaluation'!$A$46:$K$120,7,0)&amp;""</f>
        <v>Yes</v>
      </c>
      <c r="H267" s="4" t="str">
        <f>VLOOKUP($A267,'Privacy Analyst Evaluation'!$A$46:$K$120,8,0)&amp;""</f>
        <v/>
      </c>
      <c r="I267" s="4" t="str">
        <f>VLOOKUP($A267,'Privacy Analyst Evaluation'!$A$46:$K$120,9,0)&amp;""</f>
        <v>Critical Importance</v>
      </c>
      <c r="J267" s="4" t="str">
        <f>VLOOKUP($A267,'Privacy Analyst Evaluation'!$A$46:$K$120,10,0)&amp;""</f>
        <v/>
      </c>
      <c r="K267" s="4">
        <f>IF($I267='Auto Responses'!$J$11,20,IF($I267='Auto Responses'!$J$13,5,10))</f>
        <v>20</v>
      </c>
      <c r="L267" s="107">
        <f>IF($E267='Auto Responses'!$L$13, 'Auto Responses'!$J$5,IF(AND($D267='Auto Responses'!$J$27,$H267=""),'Auto Responses'!$J$5,IF(AND($D267='Auto Responses'!$J$27,$H267='Auto Responses'!$J$7),1,IF(AND($D267='Auto Responses'!$J$27,$H267='Auto Responses'!$J$8),0,IF(OR(AND($F267=$G267,$H267=""),$H267='Auto Responses'!$J$7),1,0)))))</f>
        <v>0</v>
      </c>
      <c r="M267" s="4" t="str">
        <f>VLOOKUP($A267,'Privacy Analyst Evaluation'!$A$46:$K$120,11,0)&amp;""</f>
        <v>FALSE</v>
      </c>
      <c r="N267" s="4">
        <f>IF($J267='Auto Responses'!$J$11,1,IF(AND($J267="",$I267='Auto Responses'!$J$11),1,0))</f>
        <v>1</v>
      </c>
      <c r="O267" s="107">
        <f>IF(OR($E267='Auto Responses'!$L$13,$F$24='Auto Responses'!$J$4,$F267='Auto Responses'!$J$5),'Auto Responses'!$J$5,IF($J267="",$K267,IF($J267='Auto Responses'!$J$13,5,IF($J267='Auto Responses'!$J$12,10,IF($J267='Auto Responses'!$J$11,20,0)))))</f>
        <v>20</v>
      </c>
      <c r="P267" s="107">
        <f>IF(OR($O267='Auto Responses'!$J$5,$L267='Auto Responses'!$J$5),'Auto Responses'!$J$5,$O267*$L267)</f>
        <v>0</v>
      </c>
      <c r="Q267" s="107">
        <f t="shared" si="32"/>
        <v>0</v>
      </c>
      <c r="R267" s="107">
        <f t="shared" si="37"/>
        <v>0</v>
      </c>
      <c r="S267" s="107">
        <f t="shared" si="33"/>
        <v>0</v>
      </c>
      <c r="T267" s="107">
        <f t="shared" si="34"/>
        <v>1</v>
      </c>
      <c r="U267" s="107">
        <f t="shared" si="38"/>
        <v>68</v>
      </c>
      <c r="V267" s="107">
        <f t="shared" si="35"/>
        <v>68</v>
      </c>
    </row>
    <row r="268" spans="1:22" ht="57" x14ac:dyDescent="0.2">
      <c r="A268" s="4" t="str">
        <f>Questions!$A268</f>
        <v>PRPO-07</v>
      </c>
      <c r="B268" s="4" t="str">
        <f t="shared" si="36"/>
        <v>PRPO</v>
      </c>
      <c r="C268" s="4" t="str">
        <f>VLOOKUP($A268,Questions!$A$3:$L$333,2,0)&amp;""</f>
        <v>Is privacy awareness training mandatory for all employees?</v>
      </c>
      <c r="D268" s="4" t="str">
        <f>VLOOKUP($A268,Questions!$A$3:$L$333,11,0)&amp;""</f>
        <v/>
      </c>
      <c r="E268" s="4" t="str">
        <f>VLOOKUP($A268,Questions!$A$3:$L$333,12,0)&amp;""</f>
        <v>Privacy</v>
      </c>
      <c r="F268" s="4" t="str">
        <f>VLOOKUP($A268,'Privacy Analyst Evaluation'!$A$46:$K$120,3,0)&amp;""</f>
        <v/>
      </c>
      <c r="G268" s="4" t="str">
        <f>VLOOKUP($A268,'Privacy Analyst Evaluation'!$A$46:$K$120,7,0)&amp;""</f>
        <v>Yes</v>
      </c>
      <c r="H268" s="4" t="str">
        <f>VLOOKUP($A268,'Privacy Analyst Evaluation'!$A$46:$K$120,8,0)&amp;""</f>
        <v/>
      </c>
      <c r="I268" s="4" t="str">
        <f>VLOOKUP($A268,'Privacy Analyst Evaluation'!$A$46:$K$120,9,0)&amp;""</f>
        <v>Minor Importance</v>
      </c>
      <c r="J268" s="4" t="str">
        <f>VLOOKUP($A268,'Privacy Analyst Evaluation'!$A$46:$K$120,10,0)&amp;""</f>
        <v/>
      </c>
      <c r="K268" s="4">
        <f>IF($I268='Auto Responses'!$J$11,20,IF($I268='Auto Responses'!$J$13,5,10))</f>
        <v>5</v>
      </c>
      <c r="L268" s="107">
        <f>IF($E268='Auto Responses'!$L$13, 'Auto Responses'!$J$5,IF(AND($D268='Auto Responses'!$J$27,$H268=""),'Auto Responses'!$J$5,IF(AND($D268='Auto Responses'!$J$27,$H268='Auto Responses'!$J$7),1,IF(AND($D268='Auto Responses'!$J$27,$H268='Auto Responses'!$J$8),0,IF(OR(AND($F268=$G268,$H268=""),$H268='Auto Responses'!$J$7),1,0)))))</f>
        <v>0</v>
      </c>
      <c r="M268" s="4" t="str">
        <f>VLOOKUP($A268,'Privacy Analyst Evaluation'!$A$46:$K$120,11,0)&amp;""</f>
        <v>FALSE</v>
      </c>
      <c r="N268" s="4">
        <f>IF($J268='Auto Responses'!$J$11,1,IF(AND($J268="",$I268='Auto Responses'!$J$11),1,0))</f>
        <v>0</v>
      </c>
      <c r="O268" s="107">
        <f>IF(OR($E268='Auto Responses'!$L$13,$F$24='Auto Responses'!$J$4,$F268='Auto Responses'!$J$5),'Auto Responses'!$J$5,IF($J268="",$K268,IF($J268='Auto Responses'!$J$13,5,IF($J268='Auto Responses'!$J$12,10,IF($J268='Auto Responses'!$J$11,20,0)))))</f>
        <v>5</v>
      </c>
      <c r="P268" s="107">
        <f>IF(OR($O268='Auto Responses'!$J$5,$L268='Auto Responses'!$J$5),'Auto Responses'!$J$5,$O268*$L268)</f>
        <v>0</v>
      </c>
      <c r="Q268" s="107">
        <f t="shared" si="32"/>
        <v>0</v>
      </c>
      <c r="R268" s="107">
        <f t="shared" si="37"/>
        <v>0</v>
      </c>
      <c r="S268" s="107">
        <f t="shared" si="33"/>
        <v>0</v>
      </c>
      <c r="T268" s="107">
        <f t="shared" si="34"/>
        <v>0</v>
      </c>
      <c r="U268" s="107">
        <f t="shared" si="38"/>
        <v>68</v>
      </c>
      <c r="V268" s="107">
        <f t="shared" si="35"/>
        <v>0</v>
      </c>
    </row>
    <row r="269" spans="1:22" ht="57" x14ac:dyDescent="0.2">
      <c r="A269" s="4" t="str">
        <f>Questions!$A269</f>
        <v>PRPO-08</v>
      </c>
      <c r="B269" s="4" t="str">
        <f t="shared" si="36"/>
        <v>PRPO</v>
      </c>
      <c r="C269" s="4" t="str">
        <f>VLOOKUP($A269,Questions!$A$3:$L$333,2,0)&amp;""</f>
        <v>Is AI privacy and ethics awareness/training required for all employees who work with AI?</v>
      </c>
      <c r="D269" s="4" t="str">
        <f>VLOOKUP($A269,Questions!$A$3:$L$333,11,0)&amp;""</f>
        <v/>
      </c>
      <c r="E269" s="4" t="str">
        <f>VLOOKUP($A269,Questions!$A$3:$L$333,12,0)&amp;""</f>
        <v>Privacy</v>
      </c>
      <c r="F269" s="4" t="str">
        <f>VLOOKUP($A269,'Privacy Analyst Evaluation'!$A$46:$K$120,3,0)&amp;""</f>
        <v/>
      </c>
      <c r="G269" s="4" t="str">
        <f>VLOOKUP($A269,'Privacy Analyst Evaluation'!$A$46:$K$120,7,0)&amp;""</f>
        <v>Yes</v>
      </c>
      <c r="H269" s="4" t="str">
        <f>VLOOKUP($A269,'Privacy Analyst Evaluation'!$A$46:$K$120,8,0)&amp;""</f>
        <v/>
      </c>
      <c r="I269" s="4" t="str">
        <f>VLOOKUP($A269,'Privacy Analyst Evaluation'!$A$46:$K$120,9,0)&amp;""</f>
        <v>Minor Importance</v>
      </c>
      <c r="J269" s="4" t="str">
        <f>VLOOKUP($A269,'Privacy Analyst Evaluation'!$A$46:$K$120,10,0)&amp;""</f>
        <v/>
      </c>
      <c r="K269" s="4">
        <f>IF($I269='Auto Responses'!$J$11,20,IF($I269='Auto Responses'!$J$13,5,10))</f>
        <v>5</v>
      </c>
      <c r="L269" s="107">
        <f>IF($E269='Auto Responses'!$L$13, 'Auto Responses'!$J$5,IF(AND($D269='Auto Responses'!$J$27,$H269=""),'Auto Responses'!$J$5,IF(AND($D269='Auto Responses'!$J$27,$H269='Auto Responses'!$J$7),1,IF(AND($D269='Auto Responses'!$J$27,$H269='Auto Responses'!$J$8),0,IF(OR(AND($F269=$G269,$H269=""),$H269='Auto Responses'!$J$7),1,0)))))</f>
        <v>0</v>
      </c>
      <c r="M269" s="4" t="str">
        <f>VLOOKUP($A269,'Privacy Analyst Evaluation'!$A$46:$K$120,11,0)&amp;""</f>
        <v>FALSE</v>
      </c>
      <c r="N269" s="4">
        <f>IF($J269='Auto Responses'!$J$11,1,IF(AND($J269="",$I269='Auto Responses'!$J$11),1,0))</f>
        <v>0</v>
      </c>
      <c r="O269" s="107">
        <f>IF(OR($E269='Auto Responses'!$L$13,$F$24='Auto Responses'!$J$4,$F269='Auto Responses'!$J$5),'Auto Responses'!$J$5,IF($J269="",$K269,IF($J269='Auto Responses'!$J$13,5,IF($J269='Auto Responses'!$J$12,10,IF($J269='Auto Responses'!$J$11,20,0)))))</f>
        <v>5</v>
      </c>
      <c r="P269" s="107">
        <f>IF(OR($O269='Auto Responses'!$J$5,$L269='Auto Responses'!$J$5),'Auto Responses'!$J$5,$O269*$L269)</f>
        <v>0</v>
      </c>
      <c r="Q269" s="107">
        <f t="shared" si="32"/>
        <v>0</v>
      </c>
      <c r="R269" s="107">
        <f t="shared" si="37"/>
        <v>0</v>
      </c>
      <c r="S269" s="107">
        <f t="shared" si="33"/>
        <v>0</v>
      </c>
      <c r="T269" s="107">
        <f t="shared" si="34"/>
        <v>0</v>
      </c>
      <c r="U269" s="107">
        <f t="shared" si="38"/>
        <v>68</v>
      </c>
      <c r="V269" s="107">
        <f t="shared" si="35"/>
        <v>0</v>
      </c>
    </row>
    <row r="270" spans="1:22" ht="57" x14ac:dyDescent="0.2">
      <c r="A270" s="4" t="str">
        <f>Questions!$A270</f>
        <v>PRPO-09</v>
      </c>
      <c r="B270" s="4" t="str">
        <f t="shared" si="36"/>
        <v>PRPO</v>
      </c>
      <c r="C270" s="4" t="str">
        <f>VLOOKUP($A270,Questions!$A$3:$L$333,2,0)&amp;""</f>
        <v>Do you have any decision-making processes that are completely automated (i.e., there is no human involvement)?</v>
      </c>
      <c r="D270" s="4" t="str">
        <f>VLOOKUP($A270,Questions!$A$3:$L$333,11,0)&amp;""</f>
        <v/>
      </c>
      <c r="E270" s="4" t="str">
        <f>VLOOKUP($A270,Questions!$A$3:$L$333,12,0)&amp;""</f>
        <v>Privacy</v>
      </c>
      <c r="F270" s="4" t="str">
        <f>VLOOKUP($A270,'Privacy Analyst Evaluation'!$A$46:$K$120,3,0)&amp;""</f>
        <v/>
      </c>
      <c r="G270" s="4" t="str">
        <f>VLOOKUP($A270,'Privacy Analyst Evaluation'!$A$46:$K$120,7,0)&amp;""</f>
        <v>No</v>
      </c>
      <c r="H270" s="4" t="str">
        <f>VLOOKUP($A270,'Privacy Analyst Evaluation'!$A$46:$K$120,8,0)&amp;""</f>
        <v/>
      </c>
      <c r="I270" s="4" t="str">
        <f>VLOOKUP($A270,'Privacy Analyst Evaluation'!$A$46:$K$120,9,0)&amp;""</f>
        <v>Minor Importance</v>
      </c>
      <c r="J270" s="4" t="str">
        <f>VLOOKUP($A270,'Privacy Analyst Evaluation'!$A$46:$K$120,10,0)&amp;""</f>
        <v/>
      </c>
      <c r="K270" s="4">
        <f>IF($I270='Auto Responses'!$J$11,20,IF($I270='Auto Responses'!$J$13,5,10))</f>
        <v>5</v>
      </c>
      <c r="L270" s="107">
        <f>IF($E270='Auto Responses'!$L$13, 'Auto Responses'!$J$5,IF(AND($D270='Auto Responses'!$J$27,$H270=""),'Auto Responses'!$J$5,IF(AND($D270='Auto Responses'!$J$27,$H270='Auto Responses'!$J$7),1,IF(AND($D270='Auto Responses'!$J$27,$H270='Auto Responses'!$J$8),0,IF(OR(AND($F270=$G270,$H270=""),$H270='Auto Responses'!$J$7),1,0)))))</f>
        <v>0</v>
      </c>
      <c r="M270" s="4" t="str">
        <f>VLOOKUP($A270,'Privacy Analyst Evaluation'!$A$46:$K$120,11,0)&amp;""</f>
        <v>FALSE</v>
      </c>
      <c r="N270" s="4">
        <f>IF($J270='Auto Responses'!$J$11,1,IF(AND($J270="",$I270='Auto Responses'!$J$11),1,0))</f>
        <v>0</v>
      </c>
      <c r="O270" s="107">
        <f>IF(OR($E270='Auto Responses'!$L$13,$F$24='Auto Responses'!$J$4,$F270='Auto Responses'!$J$5),'Auto Responses'!$J$5,IF($J270="",$K270,IF($J270='Auto Responses'!$J$13,5,IF($J270='Auto Responses'!$J$12,10,IF($J270='Auto Responses'!$J$11,20,0)))))</f>
        <v>5</v>
      </c>
      <c r="P270" s="107">
        <f>IF(OR($O270='Auto Responses'!$J$5,$L270='Auto Responses'!$J$5),'Auto Responses'!$J$5,$O270*$L270)</f>
        <v>0</v>
      </c>
      <c r="Q270" s="107">
        <f t="shared" si="32"/>
        <v>0</v>
      </c>
      <c r="R270" s="107">
        <f t="shared" si="37"/>
        <v>0</v>
      </c>
      <c r="S270" s="107">
        <f t="shared" si="33"/>
        <v>0</v>
      </c>
      <c r="T270" s="107">
        <f t="shared" si="34"/>
        <v>0</v>
      </c>
      <c r="U270" s="107">
        <f t="shared" si="38"/>
        <v>68</v>
      </c>
      <c r="V270" s="107">
        <f t="shared" si="35"/>
        <v>0</v>
      </c>
    </row>
    <row r="271" spans="1:22" ht="57" x14ac:dyDescent="0.2">
      <c r="A271" s="4" t="str">
        <f>Questions!$A271</f>
        <v>PRPO-10</v>
      </c>
      <c r="B271" s="4" t="str">
        <f t="shared" si="36"/>
        <v>PRPO</v>
      </c>
      <c r="C271" s="4" t="str">
        <f>VLOOKUP($A271,Questions!$A$3:$L$333,2,0)&amp;""</f>
        <v>Do you have a documented process for managing automated processing, including validations, monitoring, and data subject requests?</v>
      </c>
      <c r="D271" s="4" t="str">
        <f>VLOOKUP($A271,Questions!$A$3:$L$333,11,0)&amp;""</f>
        <v/>
      </c>
      <c r="E271" s="4" t="str">
        <f>VLOOKUP($A271,Questions!$A$3:$L$333,12,0)&amp;""</f>
        <v>Privacy</v>
      </c>
      <c r="F271" s="4" t="str">
        <f>VLOOKUP($A271,'Privacy Analyst Evaluation'!$A$46:$K$120,3,0)&amp;""</f>
        <v/>
      </c>
      <c r="G271" s="4" t="str">
        <f>VLOOKUP($A271,'Privacy Analyst Evaluation'!$A$46:$K$120,7,0)&amp;""</f>
        <v>Yes</v>
      </c>
      <c r="H271" s="4" t="str">
        <f>VLOOKUP($A271,'Privacy Analyst Evaluation'!$A$46:$K$120,8,0)&amp;""</f>
        <v/>
      </c>
      <c r="I271" s="4" t="str">
        <f>VLOOKUP($A271,'Privacy Analyst Evaluation'!$A$46:$K$120,9,0)&amp;""</f>
        <v>Minor Importance</v>
      </c>
      <c r="J271" s="4" t="str">
        <f>VLOOKUP($A271,'Privacy Analyst Evaluation'!$A$46:$K$120,10,0)&amp;""</f>
        <v/>
      </c>
      <c r="K271" s="4">
        <f>IF($I271='Auto Responses'!$J$11,20,IF($I271='Auto Responses'!$J$13,5,10))</f>
        <v>5</v>
      </c>
      <c r="L271" s="107">
        <f>IF($E271='Auto Responses'!$L$13, 'Auto Responses'!$J$5,IF(AND($D271='Auto Responses'!$J$27,$H271=""),'Auto Responses'!$J$5,IF(AND($D271='Auto Responses'!$J$27,$H271='Auto Responses'!$J$7),1,IF(AND($D271='Auto Responses'!$J$27,$H271='Auto Responses'!$J$8),0,IF(OR(AND($F271=$G271,$H271=""),$H271='Auto Responses'!$J$7),1,0)))))</f>
        <v>0</v>
      </c>
      <c r="M271" s="4" t="str">
        <f>VLOOKUP($A271,'Privacy Analyst Evaluation'!$A$46:$K$120,11,0)&amp;""</f>
        <v>FALSE</v>
      </c>
      <c r="N271" s="4">
        <f>IF($J271='Auto Responses'!$J$11,1,IF(AND($J271="",$I271='Auto Responses'!$J$11),1,0))</f>
        <v>0</v>
      </c>
      <c r="O271" s="107">
        <f>IF(OR($E271='Auto Responses'!$L$13,$F$24='Auto Responses'!$J$4,$F271='Auto Responses'!$J$5),'Auto Responses'!$J$5,IF($J271="",$K271,IF($J271='Auto Responses'!$J$13,5,IF($J271='Auto Responses'!$J$12,10,IF($J271='Auto Responses'!$J$11,20,0)))))</f>
        <v>5</v>
      </c>
      <c r="P271" s="107">
        <f>IF(OR($O271='Auto Responses'!$J$5,$L271='Auto Responses'!$J$5),'Auto Responses'!$J$5,$O271*$L271)</f>
        <v>0</v>
      </c>
      <c r="Q271" s="107">
        <f t="shared" si="32"/>
        <v>0</v>
      </c>
      <c r="R271" s="107">
        <f t="shared" si="37"/>
        <v>0</v>
      </c>
      <c r="S271" s="107">
        <f t="shared" si="33"/>
        <v>0</v>
      </c>
      <c r="T271" s="107">
        <f t="shared" si="34"/>
        <v>0</v>
      </c>
      <c r="U271" s="107">
        <f t="shared" si="38"/>
        <v>68</v>
      </c>
      <c r="V271" s="107">
        <f t="shared" si="35"/>
        <v>0</v>
      </c>
    </row>
    <row r="272" spans="1:22" ht="57" x14ac:dyDescent="0.2">
      <c r="A272" s="4" t="str">
        <f>Questions!$A272</f>
        <v>PRPO-11</v>
      </c>
      <c r="B272" s="4" t="str">
        <f t="shared" si="36"/>
        <v>PRPO</v>
      </c>
      <c r="C272" s="4" t="str">
        <f>VLOOKUP($A272,Questions!$A$3:$L$333,2,0)&amp;""</f>
        <v>Do you have a documented policy for sharing information with law enforcement?</v>
      </c>
      <c r="D272" s="4" t="str">
        <f>VLOOKUP($A272,Questions!$A$3:$L$333,11,0)&amp;""</f>
        <v/>
      </c>
      <c r="E272" s="4" t="str">
        <f>VLOOKUP($A272,Questions!$A$3:$L$333,12,0)&amp;""</f>
        <v>Privacy</v>
      </c>
      <c r="F272" s="4" t="str">
        <f>VLOOKUP($A272,'Privacy Analyst Evaluation'!$A$46:$K$120,3,0)&amp;""</f>
        <v/>
      </c>
      <c r="G272" s="4" t="str">
        <f>VLOOKUP($A272,'Privacy Analyst Evaluation'!$A$46:$K$120,7,0)&amp;""</f>
        <v>Yes</v>
      </c>
      <c r="H272" s="4" t="str">
        <f>VLOOKUP($A272,'Privacy Analyst Evaluation'!$A$46:$K$120,8,0)&amp;""</f>
        <v/>
      </c>
      <c r="I272" s="4" t="str">
        <f>VLOOKUP($A272,'Privacy Analyst Evaluation'!$A$46:$K$120,9,0)&amp;""</f>
        <v>Minor Importance</v>
      </c>
      <c r="J272" s="4" t="str">
        <f>VLOOKUP($A272,'Privacy Analyst Evaluation'!$A$46:$K$120,10,0)&amp;""</f>
        <v/>
      </c>
      <c r="K272" s="4">
        <f>IF($I272='Auto Responses'!$J$11,20,IF($I272='Auto Responses'!$J$13,5,10))</f>
        <v>5</v>
      </c>
      <c r="L272" s="107">
        <f>IF($E272='Auto Responses'!$L$13, 'Auto Responses'!$J$5,IF(AND($D272='Auto Responses'!$J$27,$H272=""),'Auto Responses'!$J$5,IF(AND($D272='Auto Responses'!$J$27,$H272='Auto Responses'!$J$7),1,IF(AND($D272='Auto Responses'!$J$27,$H272='Auto Responses'!$J$8),0,IF(OR(AND($F272=$G272,$H272=""),$H272='Auto Responses'!$J$7),1,0)))))</f>
        <v>0</v>
      </c>
      <c r="M272" s="4" t="str">
        <f>VLOOKUP($A272,'Privacy Analyst Evaluation'!$A$46:$K$120,11,0)&amp;""</f>
        <v>FALSE</v>
      </c>
      <c r="N272" s="4">
        <f>IF($J272='Auto Responses'!$J$11,1,IF(AND($J272="",$I272='Auto Responses'!$J$11),1,0))</f>
        <v>0</v>
      </c>
      <c r="O272" s="107">
        <f>IF(OR($E272='Auto Responses'!$L$13,$F$24='Auto Responses'!$J$4,$F272='Auto Responses'!$J$5),'Auto Responses'!$J$5,IF($J272="",$K272,IF($J272='Auto Responses'!$J$13,5,IF($J272='Auto Responses'!$J$12,10,IF($J272='Auto Responses'!$J$11,20,0)))))</f>
        <v>5</v>
      </c>
      <c r="P272" s="107">
        <f>IF(OR($O272='Auto Responses'!$J$5,$L272='Auto Responses'!$J$5),'Auto Responses'!$J$5,$O272*$L272)</f>
        <v>0</v>
      </c>
      <c r="Q272" s="107">
        <f t="shared" si="32"/>
        <v>0</v>
      </c>
      <c r="R272" s="107">
        <f t="shared" si="37"/>
        <v>0</v>
      </c>
      <c r="S272" s="107">
        <f t="shared" si="33"/>
        <v>0</v>
      </c>
      <c r="T272" s="107">
        <f t="shared" si="34"/>
        <v>0</v>
      </c>
      <c r="U272" s="107">
        <f t="shared" si="38"/>
        <v>68</v>
      </c>
      <c r="V272" s="107">
        <f t="shared" si="35"/>
        <v>0</v>
      </c>
    </row>
    <row r="273" spans="1:22" ht="57" x14ac:dyDescent="0.2">
      <c r="A273" s="4" t="str">
        <f>Questions!$A273</f>
        <v>PRPO-12</v>
      </c>
      <c r="B273" s="4" t="str">
        <f t="shared" si="36"/>
        <v>PRPO</v>
      </c>
      <c r="C273" s="4" t="str">
        <f>VLOOKUP($A273,Questions!$A$3:$L$333,2,0)&amp;""</f>
        <v>Do you share any institutional data with law enforcement without a valid warrant or subpoena?*</v>
      </c>
      <c r="D273" s="4" t="str">
        <f>VLOOKUP($A273,Questions!$A$3:$L$333,11,0)&amp;""</f>
        <v/>
      </c>
      <c r="E273" s="4" t="str">
        <f>VLOOKUP($A273,Questions!$A$3:$L$333,12,0)&amp;""</f>
        <v>Privacy</v>
      </c>
      <c r="F273" s="4" t="str">
        <f>VLOOKUP($A273,'Privacy Analyst Evaluation'!$A$46:$K$120,3,0)&amp;""</f>
        <v/>
      </c>
      <c r="G273" s="4" t="str">
        <f>VLOOKUP($A273,'Privacy Analyst Evaluation'!$A$46:$K$120,7,0)&amp;""</f>
        <v>No</v>
      </c>
      <c r="H273" s="4" t="str">
        <f>VLOOKUP($A273,'Privacy Analyst Evaluation'!$A$46:$K$120,8,0)&amp;""</f>
        <v/>
      </c>
      <c r="I273" s="4" t="str">
        <f>VLOOKUP($A273,'Privacy Analyst Evaluation'!$A$46:$K$120,9,0)&amp;""</f>
        <v>Critical Importance</v>
      </c>
      <c r="J273" s="4" t="str">
        <f>VLOOKUP($A273,'Privacy Analyst Evaluation'!$A$46:$K$120,10,0)&amp;""</f>
        <v/>
      </c>
      <c r="K273" s="4">
        <f>IF($I273='Auto Responses'!$J$11,20,IF($I273='Auto Responses'!$J$13,5,10))</f>
        <v>20</v>
      </c>
      <c r="L273" s="107">
        <f>IF($E273='Auto Responses'!$L$13, 'Auto Responses'!$J$5,IF(AND($D273='Auto Responses'!$J$27,$H273=""),'Auto Responses'!$J$5,IF(AND($D273='Auto Responses'!$J$27,$H273='Auto Responses'!$J$7),1,IF(AND($D273='Auto Responses'!$J$27,$H273='Auto Responses'!$J$8),0,IF(OR(AND($F273=$G273,$H273=""),$H273='Auto Responses'!$J$7),1,0)))))</f>
        <v>0</v>
      </c>
      <c r="M273" s="4" t="str">
        <f>VLOOKUP($A273,'Privacy Analyst Evaluation'!$A$46:$K$120,11,0)&amp;""</f>
        <v>FALSE</v>
      </c>
      <c r="N273" s="4">
        <f>IF($J273='Auto Responses'!$J$11,1,IF(AND($J273="",$I273='Auto Responses'!$J$11),1,0))</f>
        <v>1</v>
      </c>
      <c r="O273" s="107">
        <f>IF(OR($E273='Auto Responses'!$L$13,$F$24='Auto Responses'!$J$4,$F273='Auto Responses'!$J$5),'Auto Responses'!$J$5,IF($J273="",$K273,IF($J273='Auto Responses'!$J$13,5,IF($J273='Auto Responses'!$J$12,10,IF($J273='Auto Responses'!$J$11,20,0)))))</f>
        <v>20</v>
      </c>
      <c r="P273" s="107">
        <f>IF(OR($O273='Auto Responses'!$J$5,$L273='Auto Responses'!$J$5),'Auto Responses'!$J$5,$O273*$L273)</f>
        <v>0</v>
      </c>
      <c r="Q273" s="107">
        <f t="shared" si="32"/>
        <v>0</v>
      </c>
      <c r="R273" s="107">
        <f t="shared" si="37"/>
        <v>0</v>
      </c>
      <c r="S273" s="107">
        <f t="shared" si="33"/>
        <v>0</v>
      </c>
      <c r="T273" s="107">
        <f t="shared" si="34"/>
        <v>1</v>
      </c>
      <c r="U273" s="107">
        <f t="shared" si="38"/>
        <v>69</v>
      </c>
      <c r="V273" s="107">
        <f t="shared" si="35"/>
        <v>69</v>
      </c>
    </row>
    <row r="274" spans="1:22" ht="57" x14ac:dyDescent="0.2">
      <c r="A274" s="4" t="str">
        <f>Questions!$A274</f>
        <v>PRPO-13</v>
      </c>
      <c r="B274" s="4" t="str">
        <f t="shared" si="36"/>
        <v>PRPO</v>
      </c>
      <c r="C274" s="4" t="str">
        <f>VLOOKUP($A274,Questions!$A$3:$L$333,2,0)&amp;""</f>
        <v>Does your incident response team include a privacy analyst/officer?</v>
      </c>
      <c r="D274" s="4" t="str">
        <f>VLOOKUP($A274,Questions!$A$3:$L$333,11,0)&amp;""</f>
        <v/>
      </c>
      <c r="E274" s="4" t="str">
        <f>VLOOKUP($A274,Questions!$A$3:$L$333,12,0)&amp;""</f>
        <v>Privacy</v>
      </c>
      <c r="F274" s="4" t="str">
        <f>VLOOKUP($A274,'Privacy Analyst Evaluation'!$A$46:$K$120,3,0)&amp;""</f>
        <v/>
      </c>
      <c r="G274" s="4" t="str">
        <f>VLOOKUP($A274,'Privacy Analyst Evaluation'!$A$46:$K$120,7,0)&amp;""</f>
        <v>Yes</v>
      </c>
      <c r="H274" s="4" t="str">
        <f>VLOOKUP($A274,'Privacy Analyst Evaluation'!$A$46:$K$120,8,0)&amp;""</f>
        <v/>
      </c>
      <c r="I274" s="4" t="str">
        <f>VLOOKUP($A274,'Privacy Analyst Evaluation'!$A$46:$K$120,9,0)&amp;""</f>
        <v>Minor Importance</v>
      </c>
      <c r="J274" s="4" t="str">
        <f>VLOOKUP($A274,'Privacy Analyst Evaluation'!$A$46:$K$120,10,0)&amp;""</f>
        <v/>
      </c>
      <c r="K274" s="4">
        <f>IF($I274='Auto Responses'!$J$11,20,IF($I274='Auto Responses'!$J$13,5,10))</f>
        <v>5</v>
      </c>
      <c r="L274" s="107">
        <f>IF($E274='Auto Responses'!$L$13, 'Auto Responses'!$J$5,IF(AND($D274='Auto Responses'!$J$27,$H274=""),'Auto Responses'!$J$5,IF(AND($D274='Auto Responses'!$J$27,$H274='Auto Responses'!$J$7),1,IF(AND($D274='Auto Responses'!$J$27,$H274='Auto Responses'!$J$8),0,IF(OR(AND($F274=$G274,$H274=""),$H274='Auto Responses'!$J$7),1,0)))))</f>
        <v>0</v>
      </c>
      <c r="M274" s="4" t="str">
        <f>VLOOKUP($A274,'Privacy Analyst Evaluation'!$A$46:$K$120,11,0)&amp;""</f>
        <v>FALSE</v>
      </c>
      <c r="N274" s="4">
        <f>IF($J274='Auto Responses'!$J$11,1,IF(AND($J274="",$I274='Auto Responses'!$J$11),1,0))</f>
        <v>0</v>
      </c>
      <c r="O274" s="107">
        <f>IF(OR($E274='Auto Responses'!$L$13,$F$24='Auto Responses'!$J$4,$F274='Auto Responses'!$J$5),'Auto Responses'!$J$5,IF($J274="",$K274,IF($J274='Auto Responses'!$J$13,5,IF($J274='Auto Responses'!$J$12,10,IF($J274='Auto Responses'!$J$11,20,0)))))</f>
        <v>5</v>
      </c>
      <c r="P274" s="107">
        <f>IF(OR($O274='Auto Responses'!$J$5,$L274='Auto Responses'!$J$5),'Auto Responses'!$J$5,$O274*$L274)</f>
        <v>0</v>
      </c>
      <c r="Q274" s="107">
        <f t="shared" si="32"/>
        <v>0</v>
      </c>
      <c r="R274" s="107">
        <f t="shared" si="37"/>
        <v>0</v>
      </c>
      <c r="S274" s="107">
        <f t="shared" si="33"/>
        <v>0</v>
      </c>
      <c r="T274" s="107">
        <f t="shared" si="34"/>
        <v>0</v>
      </c>
      <c r="U274" s="107">
        <f t="shared" si="38"/>
        <v>69</v>
      </c>
      <c r="V274" s="107">
        <f t="shared" si="35"/>
        <v>0</v>
      </c>
    </row>
    <row r="275" spans="1:22" ht="57" x14ac:dyDescent="0.2">
      <c r="A275" s="4" t="str">
        <f>Questions!$A275</f>
        <v>INTL-01</v>
      </c>
      <c r="B275" s="4" t="str">
        <f t="shared" si="36"/>
        <v>INTL</v>
      </c>
      <c r="C275" s="4" t="str">
        <f>VLOOKUP($A275,Questions!$A$3:$L$333,2,0)&amp;""</f>
        <v>Will data be collected from or processed in or stored in the European Economic Area (EEA)?</v>
      </c>
      <c r="D275" s="4" t="str">
        <f>VLOOKUP($A275,Questions!$A$3:$L$333,11,0)&amp;""</f>
        <v/>
      </c>
      <c r="E275" s="4" t="str">
        <f>VLOOKUP($A275,Questions!$A$3:$L$333,12,0)&amp;""</f>
        <v>Privacy</v>
      </c>
      <c r="F275" s="4" t="str">
        <f>VLOOKUP($A275,'Privacy Analyst Evaluation'!$A$46:$K$120,3,0)&amp;""</f>
        <v/>
      </c>
      <c r="G275" s="4" t="str">
        <f>VLOOKUP($A275,'Privacy Analyst Evaluation'!$A$46:$K$120,7,0)&amp;""</f>
        <v>No</v>
      </c>
      <c r="H275" s="4" t="str">
        <f>VLOOKUP($A275,'Privacy Analyst Evaluation'!$A$46:$K$120,8,0)&amp;""</f>
        <v/>
      </c>
      <c r="I275" s="4" t="str">
        <f>VLOOKUP($A275,'Privacy Analyst Evaluation'!$A$46:$K$120,9,0)&amp;""</f>
        <v>Standard Importance</v>
      </c>
      <c r="J275" s="4" t="str">
        <f>VLOOKUP($A275,'Privacy Analyst Evaluation'!$A$46:$K$120,10,0)&amp;""</f>
        <v/>
      </c>
      <c r="K275" s="4">
        <f>IF($I275='Auto Responses'!$J$11,20,IF($I275='Auto Responses'!$J$13,5,10))</f>
        <v>10</v>
      </c>
      <c r="L275" s="107">
        <f>IF($E275='Auto Responses'!$L$13, 'Auto Responses'!$J$5,IF(AND($D275='Auto Responses'!$J$27,$H275=""),'Auto Responses'!$J$5,IF(AND($D275='Auto Responses'!$J$27,$H275='Auto Responses'!$J$7),1,IF(AND($D275='Auto Responses'!$J$27,$H275='Auto Responses'!$J$8),0,IF(OR(AND($F275=$G275,$H275=""),$H275='Auto Responses'!$J$7),1,0)))))</f>
        <v>0</v>
      </c>
      <c r="M275" s="4" t="str">
        <f>VLOOKUP($A275,'Privacy Analyst Evaluation'!$A$46:$K$120,11,0)&amp;""</f>
        <v>FALSE</v>
      </c>
      <c r="N275" s="4">
        <f>IF($J275='Auto Responses'!$J$11,1,IF(AND($J275="",$I275='Auto Responses'!$J$11),1,0))</f>
        <v>0</v>
      </c>
      <c r="O275" s="107">
        <f>IF(OR($E275='Auto Responses'!$L$13,$F$24='Auto Responses'!$J$4,$F275='Auto Responses'!$J$5),'Auto Responses'!$J$5,IF($J275="",$K275,IF($J275='Auto Responses'!$J$13,5,IF($J275='Auto Responses'!$J$12,10,IF($J275='Auto Responses'!$J$11,20,0)))))</f>
        <v>10</v>
      </c>
      <c r="P275" s="107">
        <f>IF(OR($O275='Auto Responses'!$J$5,$L275='Auto Responses'!$J$5),'Auto Responses'!$J$5,$O275*$L275)</f>
        <v>0</v>
      </c>
      <c r="Q275" s="107">
        <f t="shared" si="32"/>
        <v>0</v>
      </c>
      <c r="R275" s="107">
        <f t="shared" si="37"/>
        <v>0</v>
      </c>
      <c r="S275" s="107">
        <f t="shared" si="33"/>
        <v>0</v>
      </c>
      <c r="T275" s="107">
        <f t="shared" si="34"/>
        <v>0</v>
      </c>
      <c r="U275" s="107">
        <f t="shared" si="38"/>
        <v>69</v>
      </c>
      <c r="V275" s="107">
        <f t="shared" si="35"/>
        <v>0</v>
      </c>
    </row>
    <row r="276" spans="1:22" ht="57" x14ac:dyDescent="0.2">
      <c r="A276" s="4" t="str">
        <f>Questions!$A276</f>
        <v>INTL-02</v>
      </c>
      <c r="B276" s="4" t="str">
        <f t="shared" si="36"/>
        <v>INTL</v>
      </c>
      <c r="C276" s="4" t="str">
        <f>VLOOKUP($A276,Questions!$A$3:$L$333,2,0)&amp;""</f>
        <v>Do you have a data protection officer (DPO)?</v>
      </c>
      <c r="D276" s="4" t="str">
        <f>VLOOKUP($A276,Questions!$A$3:$L$333,11,0)&amp;""</f>
        <v/>
      </c>
      <c r="E276" s="4" t="str">
        <f>VLOOKUP($A276,Questions!$A$3:$L$333,12,0)&amp;""</f>
        <v>Privacy</v>
      </c>
      <c r="F276" s="4" t="str">
        <f>VLOOKUP($A276,'Privacy Analyst Evaluation'!$A$46:$K$120,3,0)&amp;""</f>
        <v/>
      </c>
      <c r="G276" s="4" t="str">
        <f>VLOOKUP($A276,'Privacy Analyst Evaluation'!$A$46:$K$120,7,0)&amp;""</f>
        <v>Yes</v>
      </c>
      <c r="H276" s="4" t="str">
        <f>VLOOKUP($A276,'Privacy Analyst Evaluation'!$A$46:$K$120,8,0)&amp;""</f>
        <v/>
      </c>
      <c r="I276" s="4" t="str">
        <f>VLOOKUP($A276,'Privacy Analyst Evaluation'!$A$46:$K$120,9,0)&amp;""</f>
        <v>Standard Importance</v>
      </c>
      <c r="J276" s="4" t="str">
        <f>VLOOKUP($A276,'Privacy Analyst Evaluation'!$A$46:$K$120,10,0)&amp;""</f>
        <v/>
      </c>
      <c r="K276" s="4">
        <f>IF($I276='Auto Responses'!$J$11,20,IF($I276='Auto Responses'!$J$13,5,10))</f>
        <v>10</v>
      </c>
      <c r="L276" s="107">
        <f>IF($E276='Auto Responses'!$L$13, 'Auto Responses'!$J$5,IF(AND($D276='Auto Responses'!$J$27,$H276=""),'Auto Responses'!$J$5,IF(AND($D276='Auto Responses'!$J$27,$H276='Auto Responses'!$J$7),1,IF(AND($D276='Auto Responses'!$J$27,$H276='Auto Responses'!$J$8),0,IF(OR(AND($F276=$G276,$H276=""),$H276='Auto Responses'!$J$7),1,0)))))</f>
        <v>0</v>
      </c>
      <c r="M276" s="4" t="str">
        <f>VLOOKUP($A276,'Privacy Analyst Evaluation'!$A$46:$K$120,11,0)&amp;""</f>
        <v>FALSE</v>
      </c>
      <c r="N276" s="4">
        <f>IF($J276='Auto Responses'!$J$11,1,IF(AND($J276="",$I276='Auto Responses'!$J$11),1,0))</f>
        <v>0</v>
      </c>
      <c r="O276" s="107">
        <f>IF(OR($E276='Auto Responses'!$L$13,$F$24='Auto Responses'!$J$4,$F276='Auto Responses'!$J$5),'Auto Responses'!$J$5,IF($J276="",$K276,IF($J276='Auto Responses'!$J$13,5,IF($J276='Auto Responses'!$J$12,10,IF($J276='Auto Responses'!$J$11,20,0)))))</f>
        <v>10</v>
      </c>
      <c r="P276" s="107">
        <f>IF(OR($O276='Auto Responses'!$J$5,$L276='Auto Responses'!$J$5),'Auto Responses'!$J$5,$O276*$L276)</f>
        <v>0</v>
      </c>
      <c r="Q276" s="107">
        <f t="shared" si="32"/>
        <v>0</v>
      </c>
      <c r="R276" s="107">
        <f t="shared" si="37"/>
        <v>0</v>
      </c>
      <c r="S276" s="107">
        <f t="shared" si="33"/>
        <v>0</v>
      </c>
      <c r="T276" s="107">
        <f t="shared" si="34"/>
        <v>0</v>
      </c>
      <c r="U276" s="107">
        <f t="shared" si="38"/>
        <v>69</v>
      </c>
      <c r="V276" s="107">
        <f t="shared" si="35"/>
        <v>0</v>
      </c>
    </row>
    <row r="277" spans="1:22" ht="57" x14ac:dyDescent="0.2">
      <c r="A277" s="4" t="str">
        <f>Questions!$A277</f>
        <v>INTL-03</v>
      </c>
      <c r="B277" s="4" t="str">
        <f t="shared" si="36"/>
        <v>INTL</v>
      </c>
      <c r="C277" s="4" t="str">
        <f>VLOOKUP($A277,Questions!$A$3:$L$333,2,0)&amp;""</f>
        <v>Will you sign appropriate GDPR Standard Contractual Clauses (SCCs) with the institution?</v>
      </c>
      <c r="D277" s="4" t="str">
        <f>VLOOKUP($A277,Questions!$A$3:$L$333,11,0)&amp;""</f>
        <v/>
      </c>
      <c r="E277" s="4" t="str">
        <f>VLOOKUP($A277,Questions!$A$3:$L$333,12,0)&amp;""</f>
        <v>Privacy</v>
      </c>
      <c r="F277" s="4" t="str">
        <f>VLOOKUP($A277,'Privacy Analyst Evaluation'!$A$46:$K$120,3,0)&amp;""</f>
        <v/>
      </c>
      <c r="G277" s="4" t="str">
        <f>VLOOKUP($A277,'Privacy Analyst Evaluation'!$A$46:$K$120,7,0)&amp;""</f>
        <v>Yes</v>
      </c>
      <c r="H277" s="4" t="str">
        <f>VLOOKUP($A277,'Privacy Analyst Evaluation'!$A$46:$K$120,8,0)&amp;""</f>
        <v/>
      </c>
      <c r="I277" s="4" t="str">
        <f>VLOOKUP($A277,'Privacy Analyst Evaluation'!$A$46:$K$120,9,0)&amp;""</f>
        <v>Standard Importance</v>
      </c>
      <c r="J277" s="4" t="str">
        <f>VLOOKUP($A277,'Privacy Analyst Evaluation'!$A$46:$K$120,10,0)&amp;""</f>
        <v/>
      </c>
      <c r="K277" s="4">
        <f>IF($I277='Auto Responses'!$J$11,20,IF($I277='Auto Responses'!$J$13,5,10))</f>
        <v>10</v>
      </c>
      <c r="L277" s="107">
        <f>IF($E277='Auto Responses'!$L$13, 'Auto Responses'!$J$5,IF(AND($D277='Auto Responses'!$J$27,$H277=""),'Auto Responses'!$J$5,IF(AND($D277='Auto Responses'!$J$27,$H277='Auto Responses'!$J$7),1,IF(AND($D277='Auto Responses'!$J$27,$H277='Auto Responses'!$J$8),0,IF(OR(AND($F277=$G277,$H277=""),$H277='Auto Responses'!$J$7),1,0)))))</f>
        <v>0</v>
      </c>
      <c r="M277" s="4" t="str">
        <f>VLOOKUP($A277,'Privacy Analyst Evaluation'!$A$46:$K$120,11,0)&amp;""</f>
        <v>FALSE</v>
      </c>
      <c r="N277" s="4">
        <f>IF($J277='Auto Responses'!$J$11,1,IF(AND($J277="",$I277='Auto Responses'!$J$11),1,0))</f>
        <v>0</v>
      </c>
      <c r="O277" s="107">
        <f>IF(OR($E277='Auto Responses'!$L$13,$F$24='Auto Responses'!$J$4,$F277='Auto Responses'!$J$5),'Auto Responses'!$J$5,IF($J277="",$K277,IF($J277='Auto Responses'!$J$13,5,IF($J277='Auto Responses'!$J$12,10,IF($J277='Auto Responses'!$J$11,20,0)))))</f>
        <v>10</v>
      </c>
      <c r="P277" s="107">
        <f>IF(OR($O277='Auto Responses'!$J$5,$L277='Auto Responses'!$J$5),'Auto Responses'!$J$5,$O277*$L277)</f>
        <v>0</v>
      </c>
      <c r="Q277" s="107">
        <f t="shared" si="32"/>
        <v>0</v>
      </c>
      <c r="R277" s="107">
        <f t="shared" si="37"/>
        <v>0</v>
      </c>
      <c r="S277" s="107">
        <f t="shared" si="33"/>
        <v>0</v>
      </c>
      <c r="T277" s="107">
        <f t="shared" si="34"/>
        <v>0</v>
      </c>
      <c r="U277" s="107">
        <f t="shared" si="38"/>
        <v>69</v>
      </c>
      <c r="V277" s="107">
        <f t="shared" si="35"/>
        <v>0</v>
      </c>
    </row>
    <row r="278" spans="1:22" ht="57" x14ac:dyDescent="0.2">
      <c r="A278" s="4" t="str">
        <f>Questions!$A278</f>
        <v>INTL-04</v>
      </c>
      <c r="B278" s="4" t="str">
        <f t="shared" si="36"/>
        <v>INTL</v>
      </c>
      <c r="C278" s="4" t="str">
        <f>VLOOKUP($A278,Questions!$A$3:$L$333,2,0)&amp;""</f>
        <v>Will data be collected from or processed in or stored in China?</v>
      </c>
      <c r="D278" s="4" t="str">
        <f>VLOOKUP($A278,Questions!$A$3:$L$333,11,0)&amp;""</f>
        <v/>
      </c>
      <c r="E278" s="4" t="str">
        <f>VLOOKUP($A278,Questions!$A$3:$L$333,12,0)&amp;""</f>
        <v>Privacy</v>
      </c>
      <c r="F278" s="4" t="str">
        <f>VLOOKUP($A278,'Privacy Analyst Evaluation'!$A$46:$K$120,3,0)&amp;""</f>
        <v/>
      </c>
      <c r="G278" s="4" t="str">
        <f>VLOOKUP($A278,'Privacy Analyst Evaluation'!$A$46:$K$120,7,0)&amp;""</f>
        <v>No</v>
      </c>
      <c r="H278" s="4" t="str">
        <f>VLOOKUP($A278,'Privacy Analyst Evaluation'!$A$46:$K$120,8,0)&amp;""</f>
        <v/>
      </c>
      <c r="I278" s="4" t="str">
        <f>VLOOKUP($A278,'Privacy Analyst Evaluation'!$A$46:$K$120,9,0)&amp;""</f>
        <v>Standard Importance</v>
      </c>
      <c r="J278" s="4" t="str">
        <f>VLOOKUP($A278,'Privacy Analyst Evaluation'!$A$46:$K$120,10,0)&amp;""</f>
        <v/>
      </c>
      <c r="K278" s="4">
        <f>IF($I278='Auto Responses'!$J$11,20,IF($I278='Auto Responses'!$J$13,5,10))</f>
        <v>10</v>
      </c>
      <c r="L278" s="107">
        <f>IF($E278='Auto Responses'!$L$13, 'Auto Responses'!$J$5,IF(AND($D278='Auto Responses'!$J$27,$H278=""),'Auto Responses'!$J$5,IF(AND($D278='Auto Responses'!$J$27,$H278='Auto Responses'!$J$7),1,IF(AND($D278='Auto Responses'!$J$27,$H278='Auto Responses'!$J$8),0,IF(OR(AND($F278=$G278,$H278=""),$H278='Auto Responses'!$J$7),1,0)))))</f>
        <v>0</v>
      </c>
      <c r="M278" s="4" t="str">
        <f>VLOOKUP($A278,'Privacy Analyst Evaluation'!$A$46:$K$120,11,0)&amp;""</f>
        <v>FALSE</v>
      </c>
      <c r="N278" s="4">
        <f>IF($J278='Auto Responses'!$J$11,1,IF(AND($J278="",$I278='Auto Responses'!$J$11),1,0))</f>
        <v>0</v>
      </c>
      <c r="O278" s="107">
        <f>IF(OR($E278='Auto Responses'!$L$13,$F$24='Auto Responses'!$J$4,$F278='Auto Responses'!$J$5),'Auto Responses'!$J$5,IF($J278="",$K278,IF($J278='Auto Responses'!$J$13,5,IF($J278='Auto Responses'!$J$12,10,IF($J278='Auto Responses'!$J$11,20,0)))))</f>
        <v>10</v>
      </c>
      <c r="P278" s="107">
        <f>IF(OR($O278='Auto Responses'!$J$5,$L278='Auto Responses'!$J$5),'Auto Responses'!$J$5,$O278*$L278)</f>
        <v>0</v>
      </c>
      <c r="Q278" s="107">
        <f t="shared" si="32"/>
        <v>0</v>
      </c>
      <c r="R278" s="107">
        <f t="shared" si="37"/>
        <v>0</v>
      </c>
      <c r="S278" s="107">
        <f t="shared" si="33"/>
        <v>0</v>
      </c>
      <c r="T278" s="107">
        <f t="shared" si="34"/>
        <v>0</v>
      </c>
      <c r="U278" s="107">
        <f t="shared" si="38"/>
        <v>69</v>
      </c>
      <c r="V278" s="107">
        <f t="shared" si="35"/>
        <v>0</v>
      </c>
    </row>
    <row r="279" spans="1:22" ht="57" x14ac:dyDescent="0.2">
      <c r="A279" s="4" t="str">
        <f>Questions!$A279</f>
        <v>INTL-05</v>
      </c>
      <c r="B279" s="4" t="str">
        <f t="shared" si="36"/>
        <v>INTL</v>
      </c>
      <c r="C279" s="4" t="str">
        <f>VLOOKUP($A279,Questions!$A$3:$L$333,2,0)&amp;""</f>
        <v>Do you comply with PIPL security, privacy, and data localization requirements?</v>
      </c>
      <c r="D279" s="4" t="str">
        <f>VLOOKUP($A279,Questions!$A$3:$L$333,11,0)&amp;""</f>
        <v/>
      </c>
      <c r="E279" s="4" t="str">
        <f>VLOOKUP($A279,Questions!$A$3:$L$333,12,0)&amp;""</f>
        <v>Privacy</v>
      </c>
      <c r="F279" s="4" t="str">
        <f>VLOOKUP($A279,'Privacy Analyst Evaluation'!$A$46:$K$120,3,0)&amp;""</f>
        <v/>
      </c>
      <c r="G279" s="4" t="str">
        <f>VLOOKUP($A279,'Privacy Analyst Evaluation'!$A$46:$K$120,7,0)&amp;""</f>
        <v>Yes</v>
      </c>
      <c r="H279" s="4" t="str">
        <f>VLOOKUP($A279,'Privacy Analyst Evaluation'!$A$46:$K$120,8,0)&amp;""</f>
        <v/>
      </c>
      <c r="I279" s="4" t="str">
        <f>VLOOKUP($A279,'Privacy Analyst Evaluation'!$A$46:$K$120,9,0)&amp;""</f>
        <v>Standard Importance</v>
      </c>
      <c r="J279" s="4" t="str">
        <f>VLOOKUP($A279,'Privacy Analyst Evaluation'!$A$46:$K$120,10,0)&amp;""</f>
        <v/>
      </c>
      <c r="K279" s="4">
        <f>IF($I279='Auto Responses'!$J$11,20,IF($I279='Auto Responses'!$J$13,5,10))</f>
        <v>10</v>
      </c>
      <c r="L279" s="107">
        <f>IF($E279='Auto Responses'!$L$13, 'Auto Responses'!$J$5,IF(AND($D279='Auto Responses'!$J$27,$H279=""),'Auto Responses'!$J$5,IF(AND($D279='Auto Responses'!$J$27,$H279='Auto Responses'!$J$7),1,IF(AND($D279='Auto Responses'!$J$27,$H279='Auto Responses'!$J$8),0,IF(OR(AND($F279=$G279,$H279=""),$H279='Auto Responses'!$J$7),1,0)))))</f>
        <v>0</v>
      </c>
      <c r="M279" s="4" t="str">
        <f>VLOOKUP($A279,'Privacy Analyst Evaluation'!$A$46:$K$120,11,0)&amp;""</f>
        <v>FALSE</v>
      </c>
      <c r="N279" s="4">
        <f>IF($J279='Auto Responses'!$J$11,1,IF(AND($J279="",$I279='Auto Responses'!$J$11),1,0))</f>
        <v>0</v>
      </c>
      <c r="O279" s="107">
        <f>IF(OR($E279='Auto Responses'!$L$13,$F$24='Auto Responses'!$J$4,$F279='Auto Responses'!$J$5),'Auto Responses'!$J$5,IF($J279="",$K279,IF($J279='Auto Responses'!$J$13,5,IF($J279='Auto Responses'!$J$12,10,IF($J279='Auto Responses'!$J$11,20,0)))))</f>
        <v>10</v>
      </c>
      <c r="P279" s="107">
        <f>IF(OR($O279='Auto Responses'!$J$5,$L279='Auto Responses'!$J$5),'Auto Responses'!$J$5,$O279*$L279)</f>
        <v>0</v>
      </c>
      <c r="Q279" s="107">
        <f t="shared" si="32"/>
        <v>0</v>
      </c>
      <c r="R279" s="107">
        <f t="shared" si="37"/>
        <v>0</v>
      </c>
      <c r="S279" s="107">
        <f t="shared" si="33"/>
        <v>0</v>
      </c>
      <c r="T279" s="107">
        <f t="shared" si="34"/>
        <v>0</v>
      </c>
      <c r="U279" s="107">
        <f t="shared" si="38"/>
        <v>69</v>
      </c>
      <c r="V279" s="107">
        <f t="shared" si="35"/>
        <v>0</v>
      </c>
    </row>
    <row r="280" spans="1:22" ht="57" x14ac:dyDescent="0.2">
      <c r="A280" s="4" t="str">
        <f>Questions!$A280</f>
        <v>DRPV-01</v>
      </c>
      <c r="B280" s="4" t="str">
        <f t="shared" si="36"/>
        <v>DRPV</v>
      </c>
      <c r="C280" s="4" t="str">
        <f>VLOOKUP($A280,Questions!$A$3:$L$333,2,0)&amp;""</f>
        <v>Have you performed a Data Privacy Impact Assessment for the solution/project?</v>
      </c>
      <c r="D280" s="4" t="str">
        <f>VLOOKUP($A280,Questions!$A$3:$L$333,11,0)&amp;""</f>
        <v/>
      </c>
      <c r="E280" s="4" t="str">
        <f>VLOOKUP($A280,Questions!$A$3:$L$333,12,0)&amp;""</f>
        <v>Privacy</v>
      </c>
      <c r="F280" s="4" t="str">
        <f>VLOOKUP($A280,'Privacy Analyst Evaluation'!$A$46:$K$120,3,0)&amp;""</f>
        <v/>
      </c>
      <c r="G280" s="4" t="str">
        <f>VLOOKUP($A280,'Privacy Analyst Evaluation'!$A$46:$K$120,7,0)&amp;""</f>
        <v>Yes</v>
      </c>
      <c r="H280" s="4" t="str">
        <f>VLOOKUP($A280,'Privacy Analyst Evaluation'!$A$46:$K$120,8,0)&amp;""</f>
        <v/>
      </c>
      <c r="I280" s="4" t="str">
        <f>VLOOKUP($A280,'Privacy Analyst Evaluation'!$A$46:$K$120,9,0)&amp;""</f>
        <v>Standard Importance</v>
      </c>
      <c r="J280" s="4" t="str">
        <f>VLOOKUP($A280,'Privacy Analyst Evaluation'!$A$46:$K$120,10,0)&amp;""</f>
        <v/>
      </c>
      <c r="K280" s="4">
        <f>IF($I280='Auto Responses'!$J$11,20,IF($I280='Auto Responses'!$J$13,5,10))</f>
        <v>10</v>
      </c>
      <c r="L280" s="107">
        <f>IF($E280='Auto Responses'!$L$13, 'Auto Responses'!$J$5,IF(AND($D280='Auto Responses'!$J$27,$H280=""),'Auto Responses'!$J$5,IF(AND($D280='Auto Responses'!$J$27,$H280='Auto Responses'!$J$7),1,IF(AND($D280='Auto Responses'!$J$27,$H280='Auto Responses'!$J$8),0,IF(OR(AND($F280=$G280,$H280=""),$H280='Auto Responses'!$J$7),1,0)))))</f>
        <v>0</v>
      </c>
      <c r="M280" s="4" t="str">
        <f>VLOOKUP($A280,'Privacy Analyst Evaluation'!$A$46:$K$120,11,0)&amp;""</f>
        <v>FALSE</v>
      </c>
      <c r="N280" s="4">
        <f>IF($J280='Auto Responses'!$J$11,1,IF(AND($J280="",$I280='Auto Responses'!$J$11),1,0))</f>
        <v>0</v>
      </c>
      <c r="O280" s="107">
        <f>IF(OR($E280='Auto Responses'!$L$13,$F$24='Auto Responses'!$J$4,$F280='Auto Responses'!$J$5),'Auto Responses'!$J$5,IF($J280="",$K280,IF($J280='Auto Responses'!$J$13,5,IF($J280='Auto Responses'!$J$12,10,IF($J280='Auto Responses'!$J$11,20,0)))))</f>
        <v>10</v>
      </c>
      <c r="P280" s="107">
        <f>IF(OR($O280='Auto Responses'!$J$5,$L280='Auto Responses'!$J$5),'Auto Responses'!$J$5,$O280*$L280)</f>
        <v>0</v>
      </c>
      <c r="Q280" s="107">
        <f t="shared" si="32"/>
        <v>0</v>
      </c>
      <c r="R280" s="107">
        <f t="shared" si="37"/>
        <v>0</v>
      </c>
      <c r="S280" s="107">
        <f t="shared" si="33"/>
        <v>0</v>
      </c>
      <c r="T280" s="107">
        <f t="shared" si="34"/>
        <v>0</v>
      </c>
      <c r="U280" s="107">
        <f t="shared" si="38"/>
        <v>69</v>
      </c>
      <c r="V280" s="107">
        <f t="shared" si="35"/>
        <v>0</v>
      </c>
    </row>
    <row r="281" spans="1:22" ht="57" x14ac:dyDescent="0.2">
      <c r="A281" s="4" t="str">
        <f>Questions!$A281</f>
        <v>DRPV-02</v>
      </c>
      <c r="B281" s="4" t="str">
        <f t="shared" si="36"/>
        <v>DRPV</v>
      </c>
      <c r="C281" s="4" t="str">
        <f>VLOOKUP($A281,Questions!$A$3:$L$333,2,0)&amp;""</f>
        <v>Do you provide an end-user privacy notice about privacy policies and procedures that identify the purpose(s) for which personal information is collected, used, retained, and disclosed?</v>
      </c>
      <c r="D281" s="4" t="str">
        <f>VLOOKUP($A281,Questions!$A$3:$L$333,11,0)&amp;""</f>
        <v/>
      </c>
      <c r="E281" s="4" t="str">
        <f>VLOOKUP($A281,Questions!$A$3:$L$333,12,0)&amp;""</f>
        <v>Privacy</v>
      </c>
      <c r="F281" s="4" t="str">
        <f>VLOOKUP($A281,'Privacy Analyst Evaluation'!$A$46:$K$120,3,0)&amp;""</f>
        <v/>
      </c>
      <c r="G281" s="4" t="str">
        <f>VLOOKUP($A281,'Privacy Analyst Evaluation'!$A$46:$K$120,7,0)&amp;""</f>
        <v>Yes</v>
      </c>
      <c r="H281" s="4" t="str">
        <f>VLOOKUP($A281,'Privacy Analyst Evaluation'!$A$46:$K$120,8,0)&amp;""</f>
        <v/>
      </c>
      <c r="I281" s="4" t="str">
        <f>VLOOKUP($A281,'Privacy Analyst Evaluation'!$A$46:$K$120,9,0)&amp;""</f>
        <v>Standard Importance</v>
      </c>
      <c r="J281" s="4" t="str">
        <f>VLOOKUP($A281,'Privacy Analyst Evaluation'!$A$46:$K$120,10,0)&amp;""</f>
        <v/>
      </c>
      <c r="K281" s="4">
        <f>IF($I281='Auto Responses'!$J$11,20,IF($I281='Auto Responses'!$J$13,5,10))</f>
        <v>10</v>
      </c>
      <c r="L281" s="107">
        <f>IF($E281='Auto Responses'!$L$13, 'Auto Responses'!$J$5,IF(AND($D281='Auto Responses'!$J$27,$H281=""),'Auto Responses'!$J$5,IF(AND($D281='Auto Responses'!$J$27,$H281='Auto Responses'!$J$7),1,IF(AND($D281='Auto Responses'!$J$27,$H281='Auto Responses'!$J$8),0,IF(OR(AND($F281=$G281,$H281=""),$H281='Auto Responses'!$J$7),1,0)))))</f>
        <v>0</v>
      </c>
      <c r="M281" s="4" t="str">
        <f>VLOOKUP($A281,'Privacy Analyst Evaluation'!$A$46:$K$120,11,0)&amp;""</f>
        <v>FALSE</v>
      </c>
      <c r="N281" s="4">
        <f>IF($J281='Auto Responses'!$J$11,1,IF(AND($J281="",$I281='Auto Responses'!$J$11),1,0))</f>
        <v>0</v>
      </c>
      <c r="O281" s="107">
        <f>IF(OR($E281='Auto Responses'!$L$13,$F$24='Auto Responses'!$J$4,$F281='Auto Responses'!$J$5),'Auto Responses'!$J$5,IF($J281="",$K281,IF($J281='Auto Responses'!$J$13,5,IF($J281='Auto Responses'!$J$12,10,IF($J281='Auto Responses'!$J$11,20,0)))))</f>
        <v>10</v>
      </c>
      <c r="P281" s="107">
        <f>IF(OR($O281='Auto Responses'!$J$5,$L281='Auto Responses'!$J$5),'Auto Responses'!$J$5,$O281*$L281)</f>
        <v>0</v>
      </c>
      <c r="Q281" s="107">
        <f t="shared" si="32"/>
        <v>0</v>
      </c>
      <c r="R281" s="107">
        <f t="shared" si="37"/>
        <v>0</v>
      </c>
      <c r="S281" s="107">
        <f t="shared" si="33"/>
        <v>0</v>
      </c>
      <c r="T281" s="107">
        <f t="shared" si="34"/>
        <v>0</v>
      </c>
      <c r="U281" s="107">
        <f t="shared" si="38"/>
        <v>69</v>
      </c>
      <c r="V281" s="107">
        <f t="shared" si="35"/>
        <v>0</v>
      </c>
    </row>
    <row r="282" spans="1:22" ht="57" x14ac:dyDescent="0.2">
      <c r="A282" s="4" t="str">
        <f>Questions!$A282</f>
        <v>DRPV-03</v>
      </c>
      <c r="B282" s="4" t="str">
        <f t="shared" si="36"/>
        <v>DRPV</v>
      </c>
      <c r="C282" s="4" t="str">
        <f>VLOOKUP($A282,Questions!$A$3:$L$333,2,0)&amp;""</f>
        <v>Do you describe the choices available to the individual and obtain implicit or explicit consent with respect to the collection, use, and disclosure of personal information?</v>
      </c>
      <c r="D282" s="4" t="str">
        <f>VLOOKUP($A282,Questions!$A$3:$L$333,11,0)&amp;""</f>
        <v/>
      </c>
      <c r="E282" s="4" t="str">
        <f>VLOOKUP($A282,Questions!$A$3:$L$333,12,0)&amp;""</f>
        <v>Privacy</v>
      </c>
      <c r="F282" s="4" t="str">
        <f>VLOOKUP($A282,'Privacy Analyst Evaluation'!$A$46:$K$120,3,0)&amp;""</f>
        <v/>
      </c>
      <c r="G282" s="4" t="str">
        <f>VLOOKUP($A282,'Privacy Analyst Evaluation'!$A$46:$K$120,7,0)&amp;""</f>
        <v>Yes</v>
      </c>
      <c r="H282" s="4" t="str">
        <f>VLOOKUP($A282,'Privacy Analyst Evaluation'!$A$46:$K$120,8,0)&amp;""</f>
        <v/>
      </c>
      <c r="I282" s="4" t="str">
        <f>VLOOKUP($A282,'Privacy Analyst Evaluation'!$A$46:$K$120,9,0)&amp;""</f>
        <v>Standard Importance</v>
      </c>
      <c r="J282" s="4" t="str">
        <f>VLOOKUP($A282,'Privacy Analyst Evaluation'!$A$46:$K$120,10,0)&amp;""</f>
        <v/>
      </c>
      <c r="K282" s="4">
        <f>IF($I282='Auto Responses'!$J$11,20,IF($I282='Auto Responses'!$J$13,5,10))</f>
        <v>10</v>
      </c>
      <c r="L282" s="107">
        <f>IF($E282='Auto Responses'!$L$13, 'Auto Responses'!$J$5,IF(AND($D282='Auto Responses'!$J$27,$H282=""),'Auto Responses'!$J$5,IF(AND($D282='Auto Responses'!$J$27,$H282='Auto Responses'!$J$7),1,IF(AND($D282='Auto Responses'!$J$27,$H282='Auto Responses'!$J$8),0,IF(OR(AND($F282=$G282,$H282=""),$H282='Auto Responses'!$J$7),1,0)))))</f>
        <v>0</v>
      </c>
      <c r="M282" s="4" t="str">
        <f>VLOOKUP($A282,'Privacy Analyst Evaluation'!$A$46:$K$120,11,0)&amp;""</f>
        <v>FALSE</v>
      </c>
      <c r="N282" s="4">
        <f>IF($J282='Auto Responses'!$J$11,1,IF(AND($J282="",$I282='Auto Responses'!$J$11),1,0))</f>
        <v>0</v>
      </c>
      <c r="O282" s="107">
        <f>IF(OR($E282='Auto Responses'!$L$13,$F$24='Auto Responses'!$J$4,$F282='Auto Responses'!$J$5),'Auto Responses'!$J$5,IF($J282="",$K282,IF($J282='Auto Responses'!$J$13,5,IF($J282='Auto Responses'!$J$12,10,IF($J282='Auto Responses'!$J$11,20,0)))))</f>
        <v>10</v>
      </c>
      <c r="P282" s="107">
        <f>IF(OR($O282='Auto Responses'!$J$5,$L282='Auto Responses'!$J$5),'Auto Responses'!$J$5,$O282*$L282)</f>
        <v>0</v>
      </c>
      <c r="Q282" s="107">
        <f t="shared" si="32"/>
        <v>0</v>
      </c>
      <c r="R282" s="107">
        <f t="shared" si="37"/>
        <v>0</v>
      </c>
      <c r="S282" s="107">
        <f t="shared" si="33"/>
        <v>0</v>
      </c>
      <c r="T282" s="107">
        <f t="shared" si="34"/>
        <v>0</v>
      </c>
      <c r="U282" s="107">
        <f t="shared" si="38"/>
        <v>69</v>
      </c>
      <c r="V282" s="107">
        <f t="shared" si="35"/>
        <v>0</v>
      </c>
    </row>
    <row r="283" spans="1:22" ht="57" x14ac:dyDescent="0.2">
      <c r="A283" s="4" t="str">
        <f>Questions!$A283</f>
        <v>DRPV-04</v>
      </c>
      <c r="B283" s="4" t="str">
        <f t="shared" si="36"/>
        <v>DRPV</v>
      </c>
      <c r="C283" s="4" t="str">
        <f>VLOOKUP($A283,Questions!$A$3:$L$333,2,0)&amp;""</f>
        <v>Do you collect personal information only for the purpose(s) identified in the agreement with an institution or, if there is none, the purpose(s) identified in the privacy notice?</v>
      </c>
      <c r="D283" s="4" t="str">
        <f>VLOOKUP($A283,Questions!$A$3:$L$333,11,0)&amp;""</f>
        <v/>
      </c>
      <c r="E283" s="4" t="str">
        <f>VLOOKUP($A283,Questions!$A$3:$L$333,12,0)&amp;""</f>
        <v>Privacy</v>
      </c>
      <c r="F283" s="4" t="str">
        <f>VLOOKUP($A283,'Privacy Analyst Evaluation'!$A$46:$K$120,3,0)&amp;""</f>
        <v/>
      </c>
      <c r="G283" s="4" t="str">
        <f>VLOOKUP($A283,'Privacy Analyst Evaluation'!$A$46:$K$120,7,0)&amp;""</f>
        <v>Yes</v>
      </c>
      <c r="H283" s="4" t="str">
        <f>VLOOKUP($A283,'Privacy Analyst Evaluation'!$A$46:$K$120,8,0)&amp;""</f>
        <v/>
      </c>
      <c r="I283" s="4" t="str">
        <f>VLOOKUP($A283,'Privacy Analyst Evaluation'!$A$46:$K$120,9,0)&amp;""</f>
        <v>Standard Importance</v>
      </c>
      <c r="J283" s="4" t="str">
        <f>VLOOKUP($A283,'Privacy Analyst Evaluation'!$A$46:$K$120,10,0)&amp;""</f>
        <v/>
      </c>
      <c r="K283" s="4">
        <f>IF($I283='Auto Responses'!$J$11,20,IF($I283='Auto Responses'!$J$13,5,10))</f>
        <v>10</v>
      </c>
      <c r="L283" s="107">
        <f>IF($E283='Auto Responses'!$L$13, 'Auto Responses'!$J$5,IF(AND($D283='Auto Responses'!$J$27,$H283=""),'Auto Responses'!$J$5,IF(AND($D283='Auto Responses'!$J$27,$H283='Auto Responses'!$J$7),1,IF(AND($D283='Auto Responses'!$J$27,$H283='Auto Responses'!$J$8),0,IF(OR(AND($F283=$G283,$H283=""),$H283='Auto Responses'!$J$7),1,0)))))</f>
        <v>0</v>
      </c>
      <c r="M283" s="4" t="str">
        <f>VLOOKUP($A283,'Privacy Analyst Evaluation'!$A$46:$K$120,11,0)&amp;""</f>
        <v>FALSE</v>
      </c>
      <c r="N283" s="4">
        <f>IF($J283='Auto Responses'!$J$11,1,IF(AND($J283="",$I283='Auto Responses'!$J$11),1,0))</f>
        <v>0</v>
      </c>
      <c r="O283" s="107">
        <f>IF(OR($E283='Auto Responses'!$L$13,$F$24='Auto Responses'!$J$4,$F283='Auto Responses'!$J$5),'Auto Responses'!$J$5,IF($J283="",$K283,IF($J283='Auto Responses'!$J$13,5,IF($J283='Auto Responses'!$J$12,10,IF($J283='Auto Responses'!$J$11,20,0)))))</f>
        <v>10</v>
      </c>
      <c r="P283" s="107">
        <f>IF(OR($O283='Auto Responses'!$J$5,$L283='Auto Responses'!$J$5),'Auto Responses'!$J$5,$O283*$L283)</f>
        <v>0</v>
      </c>
      <c r="Q283" s="107">
        <f t="shared" si="32"/>
        <v>0</v>
      </c>
      <c r="R283" s="107">
        <f t="shared" si="37"/>
        <v>0</v>
      </c>
      <c r="S283" s="107">
        <f t="shared" si="33"/>
        <v>0</v>
      </c>
      <c r="T283" s="107">
        <f t="shared" si="34"/>
        <v>0</v>
      </c>
      <c r="U283" s="107">
        <f t="shared" si="38"/>
        <v>69</v>
      </c>
      <c r="V283" s="107">
        <f t="shared" si="35"/>
        <v>0</v>
      </c>
    </row>
    <row r="284" spans="1:22" ht="57" x14ac:dyDescent="0.2">
      <c r="A284" s="4" t="str">
        <f>Questions!$A284</f>
        <v>DRPV-05</v>
      </c>
      <c r="B284" s="4" t="str">
        <f t="shared" si="36"/>
        <v>DRPV</v>
      </c>
      <c r="C284" s="4" t="str">
        <f>VLOOKUP($A284,Questions!$A$3:$L$333,2,0)&amp;""</f>
        <v>Do you have a documented list of personal data your service maintains?</v>
      </c>
      <c r="D284" s="4" t="str">
        <f>VLOOKUP($A284,Questions!$A$3:$L$333,11,0)&amp;""</f>
        <v/>
      </c>
      <c r="E284" s="4" t="str">
        <f>VLOOKUP($A284,Questions!$A$3:$L$333,12,0)&amp;""</f>
        <v>Privacy</v>
      </c>
      <c r="F284" s="4" t="str">
        <f>VLOOKUP($A284,'Privacy Analyst Evaluation'!$A$46:$K$120,3,0)&amp;""</f>
        <v/>
      </c>
      <c r="G284" s="4" t="str">
        <f>VLOOKUP($A284,'Privacy Analyst Evaluation'!$A$46:$K$120,7,0)&amp;""</f>
        <v>Yes</v>
      </c>
      <c r="H284" s="4" t="str">
        <f>VLOOKUP($A284,'Privacy Analyst Evaluation'!$A$46:$K$120,8,0)&amp;""</f>
        <v/>
      </c>
      <c r="I284" s="4" t="str">
        <f>VLOOKUP($A284,'Privacy Analyst Evaluation'!$A$46:$K$120,9,0)&amp;""</f>
        <v>Standard Importance</v>
      </c>
      <c r="J284" s="4" t="str">
        <f>VLOOKUP($A284,'Privacy Analyst Evaluation'!$A$46:$K$120,10,0)&amp;""</f>
        <v/>
      </c>
      <c r="K284" s="4">
        <f>IF($I284='Auto Responses'!$J$11,20,IF($I284='Auto Responses'!$J$13,5,10))</f>
        <v>10</v>
      </c>
      <c r="L284" s="107">
        <f>IF($E284='Auto Responses'!$L$13, 'Auto Responses'!$J$5,IF(AND($D284='Auto Responses'!$J$27,$H284=""),'Auto Responses'!$J$5,IF(AND($D284='Auto Responses'!$J$27,$H284='Auto Responses'!$J$7),1,IF(AND($D284='Auto Responses'!$J$27,$H284='Auto Responses'!$J$8),0,IF(OR(AND($F284=$G284,$H284=""),$H284='Auto Responses'!$J$7),1,0)))))</f>
        <v>0</v>
      </c>
      <c r="M284" s="4" t="str">
        <f>VLOOKUP($A284,'Privacy Analyst Evaluation'!$A$46:$K$120,11,0)&amp;""</f>
        <v>FALSE</v>
      </c>
      <c r="N284" s="4">
        <f>IF($J284='Auto Responses'!$J$11,1,IF(AND($J284="",$I284='Auto Responses'!$J$11),1,0))</f>
        <v>0</v>
      </c>
      <c r="O284" s="107">
        <f>IF(OR($E284='Auto Responses'!$L$13,$F$24='Auto Responses'!$J$4,$F284='Auto Responses'!$J$5),'Auto Responses'!$J$5,IF($J284="",$K284,IF($J284='Auto Responses'!$J$13,5,IF($J284='Auto Responses'!$J$12,10,IF($J284='Auto Responses'!$J$11,20,0)))))</f>
        <v>10</v>
      </c>
      <c r="P284" s="107">
        <f>IF(OR($O284='Auto Responses'!$J$5,$L284='Auto Responses'!$J$5),'Auto Responses'!$J$5,$O284*$L284)</f>
        <v>0</v>
      </c>
      <c r="Q284" s="107">
        <f t="shared" si="32"/>
        <v>0</v>
      </c>
      <c r="R284" s="107">
        <f t="shared" si="37"/>
        <v>0</v>
      </c>
      <c r="S284" s="107">
        <f t="shared" si="33"/>
        <v>0</v>
      </c>
      <c r="T284" s="107">
        <f t="shared" si="34"/>
        <v>0</v>
      </c>
      <c r="U284" s="107">
        <f t="shared" si="38"/>
        <v>69</v>
      </c>
      <c r="V284" s="107">
        <f t="shared" si="35"/>
        <v>0</v>
      </c>
    </row>
    <row r="285" spans="1:22" ht="57" x14ac:dyDescent="0.2">
      <c r="A285" s="4" t="str">
        <f>Questions!$A285</f>
        <v>DRPV-06</v>
      </c>
      <c r="B285" s="4" t="str">
        <f t="shared" si="36"/>
        <v>DRPV</v>
      </c>
      <c r="C285" s="4" t="str">
        <f>VLOOKUP($A285,Questions!$A$3:$L$333,2,0)&amp;""</f>
        <v>Do you retain personal information for only as long as necessary to fulfill the stated purpose(s) or as required by law or regulation and thereafter appropriately dispose of such information?</v>
      </c>
      <c r="D285" s="4" t="str">
        <f>VLOOKUP($A285,Questions!$A$3:$L$333,11,0)&amp;""</f>
        <v/>
      </c>
      <c r="E285" s="4" t="str">
        <f>VLOOKUP($A285,Questions!$A$3:$L$333,12,0)&amp;""</f>
        <v>Privacy</v>
      </c>
      <c r="F285" s="4" t="str">
        <f>VLOOKUP($A285,'Privacy Analyst Evaluation'!$A$46:$K$120,3,0)&amp;""</f>
        <v/>
      </c>
      <c r="G285" s="4" t="str">
        <f>VLOOKUP($A285,'Privacy Analyst Evaluation'!$A$46:$K$120,7,0)&amp;""</f>
        <v>Yes</v>
      </c>
      <c r="H285" s="4" t="str">
        <f>VLOOKUP($A285,'Privacy Analyst Evaluation'!$A$46:$K$120,8,0)&amp;""</f>
        <v/>
      </c>
      <c r="I285" s="4" t="str">
        <f>VLOOKUP($A285,'Privacy Analyst Evaluation'!$A$46:$K$120,9,0)&amp;""</f>
        <v>Standard Importance</v>
      </c>
      <c r="J285" s="4" t="str">
        <f>VLOOKUP($A285,'Privacy Analyst Evaluation'!$A$46:$K$120,10,0)&amp;""</f>
        <v/>
      </c>
      <c r="K285" s="4">
        <f>IF($I285='Auto Responses'!$J$11,20,IF($I285='Auto Responses'!$J$13,5,10))</f>
        <v>10</v>
      </c>
      <c r="L285" s="107">
        <f>IF($E285='Auto Responses'!$L$13, 'Auto Responses'!$J$5,IF(AND($D285='Auto Responses'!$J$27,$H285=""),'Auto Responses'!$J$5,IF(AND($D285='Auto Responses'!$J$27,$H285='Auto Responses'!$J$7),1,IF(AND($D285='Auto Responses'!$J$27,$H285='Auto Responses'!$J$8),0,IF(OR(AND($F285=$G285,$H285=""),$H285='Auto Responses'!$J$7),1,0)))))</f>
        <v>0</v>
      </c>
      <c r="M285" s="4" t="str">
        <f>VLOOKUP($A285,'Privacy Analyst Evaluation'!$A$46:$K$120,11,0)&amp;""</f>
        <v>FALSE</v>
      </c>
      <c r="N285" s="4">
        <f>IF($J285='Auto Responses'!$J$11,1,IF(AND($J285="",$I285='Auto Responses'!$J$11),1,0))</f>
        <v>0</v>
      </c>
      <c r="O285" s="107">
        <f>IF(OR($E285='Auto Responses'!$L$13,$F$24='Auto Responses'!$J$4,$F285='Auto Responses'!$J$5),'Auto Responses'!$J$5,IF($J285="",$K285,IF($J285='Auto Responses'!$J$13,5,IF($J285='Auto Responses'!$J$12,10,IF($J285='Auto Responses'!$J$11,20,0)))))</f>
        <v>10</v>
      </c>
      <c r="P285" s="107">
        <f>IF(OR($O285='Auto Responses'!$J$5,$L285='Auto Responses'!$J$5),'Auto Responses'!$J$5,$O285*$L285)</f>
        <v>0</v>
      </c>
      <c r="Q285" s="107">
        <f t="shared" si="32"/>
        <v>0</v>
      </c>
      <c r="R285" s="107">
        <f t="shared" si="37"/>
        <v>0</v>
      </c>
      <c r="S285" s="107">
        <f t="shared" si="33"/>
        <v>0</v>
      </c>
      <c r="T285" s="107">
        <f t="shared" si="34"/>
        <v>0</v>
      </c>
      <c r="U285" s="107">
        <f t="shared" si="38"/>
        <v>69</v>
      </c>
      <c r="V285" s="107">
        <f t="shared" si="35"/>
        <v>0</v>
      </c>
    </row>
    <row r="286" spans="1:22" ht="57" x14ac:dyDescent="0.2">
      <c r="A286" s="4" t="str">
        <f>Questions!$A286</f>
        <v>DRPV-07</v>
      </c>
      <c r="B286" s="4" t="str">
        <f t="shared" si="36"/>
        <v>DRPV</v>
      </c>
      <c r="C286" s="4" t="str">
        <f>VLOOKUP($A286,Questions!$A$3:$L$333,2,0)&amp;""</f>
        <v>Do you provide individuals with access to their personal information for review and update (i.e., data subject rights)?</v>
      </c>
      <c r="D286" s="4" t="str">
        <f>VLOOKUP($A286,Questions!$A$3:$L$333,11,0)&amp;""</f>
        <v/>
      </c>
      <c r="E286" s="4" t="str">
        <f>VLOOKUP($A286,Questions!$A$3:$L$333,12,0)&amp;""</f>
        <v>Privacy</v>
      </c>
      <c r="F286" s="4" t="str">
        <f>VLOOKUP($A286,'Privacy Analyst Evaluation'!$A$46:$K$120,3,0)&amp;""</f>
        <v/>
      </c>
      <c r="G286" s="4" t="str">
        <f>VLOOKUP($A286,'Privacy Analyst Evaluation'!$A$46:$K$120,7,0)&amp;""</f>
        <v>Yes</v>
      </c>
      <c r="H286" s="4" t="str">
        <f>VLOOKUP($A286,'Privacy Analyst Evaluation'!$A$46:$K$120,8,0)&amp;""</f>
        <v/>
      </c>
      <c r="I286" s="4" t="str">
        <f>VLOOKUP($A286,'Privacy Analyst Evaluation'!$A$46:$K$120,9,0)&amp;""</f>
        <v>Standard Importance</v>
      </c>
      <c r="J286" s="4" t="str">
        <f>VLOOKUP($A286,'Privacy Analyst Evaluation'!$A$46:$K$120,10,0)&amp;""</f>
        <v/>
      </c>
      <c r="K286" s="4">
        <f>IF($I286='Auto Responses'!$J$11,20,IF($I286='Auto Responses'!$J$13,5,10))</f>
        <v>10</v>
      </c>
      <c r="L286" s="107">
        <f>IF($E286='Auto Responses'!$L$13, 'Auto Responses'!$J$5,IF(AND($D286='Auto Responses'!$J$27,$H286=""),'Auto Responses'!$J$5,IF(AND($D286='Auto Responses'!$J$27,$H286='Auto Responses'!$J$7),1,IF(AND($D286='Auto Responses'!$J$27,$H286='Auto Responses'!$J$8),0,IF(OR(AND($F286=$G286,$H286=""),$H286='Auto Responses'!$J$7),1,0)))))</f>
        <v>0</v>
      </c>
      <c r="M286" s="4" t="str">
        <f>VLOOKUP($A286,'Privacy Analyst Evaluation'!$A$46:$K$120,11,0)&amp;""</f>
        <v>FALSE</v>
      </c>
      <c r="N286" s="4">
        <f>IF($J286='Auto Responses'!$J$11,1,IF(AND($J286="",$I286='Auto Responses'!$J$11),1,0))</f>
        <v>0</v>
      </c>
      <c r="O286" s="107">
        <f>IF(OR($E286='Auto Responses'!$L$13,$F$24='Auto Responses'!$J$4,$F286='Auto Responses'!$J$5),'Auto Responses'!$J$5,IF($J286="",$K286,IF($J286='Auto Responses'!$J$13,5,IF($J286='Auto Responses'!$J$12,10,IF($J286='Auto Responses'!$J$11,20,0)))))</f>
        <v>10</v>
      </c>
      <c r="P286" s="107">
        <f>IF(OR($O286='Auto Responses'!$J$5,$L286='Auto Responses'!$J$5),'Auto Responses'!$J$5,$O286*$L286)</f>
        <v>0</v>
      </c>
      <c r="Q286" s="107">
        <f t="shared" si="32"/>
        <v>0</v>
      </c>
      <c r="R286" s="107">
        <f t="shared" si="37"/>
        <v>0</v>
      </c>
      <c r="S286" s="107">
        <f t="shared" si="33"/>
        <v>0</v>
      </c>
      <c r="T286" s="107">
        <f t="shared" si="34"/>
        <v>0</v>
      </c>
      <c r="U286" s="107">
        <f t="shared" si="38"/>
        <v>69</v>
      </c>
      <c r="V286" s="107">
        <f t="shared" si="35"/>
        <v>0</v>
      </c>
    </row>
    <row r="287" spans="1:22" ht="57" x14ac:dyDescent="0.2">
      <c r="A287" s="4" t="str">
        <f>Questions!$A287</f>
        <v>DRPV-08</v>
      </c>
      <c r="B287" s="4" t="str">
        <f t="shared" si="36"/>
        <v>DRPV</v>
      </c>
      <c r="C287" s="4" t="str">
        <f>VLOOKUP($A287,Questions!$A$3:$L$333,2,0)&amp;""</f>
        <v>Do you disclose personal information to third parties only for the purpose(s) identified in the privacy notice or with the implicit or explicit consent of the individual?</v>
      </c>
      <c r="D287" s="4" t="str">
        <f>VLOOKUP($A287,Questions!$A$3:$L$333,11,0)&amp;""</f>
        <v/>
      </c>
      <c r="E287" s="4" t="str">
        <f>VLOOKUP($A287,Questions!$A$3:$L$333,12,0)&amp;""</f>
        <v>Privacy</v>
      </c>
      <c r="F287" s="4" t="str">
        <f>VLOOKUP($A287,'Privacy Analyst Evaluation'!$A$46:$K$120,3,0)&amp;""</f>
        <v/>
      </c>
      <c r="G287" s="4" t="str">
        <f>VLOOKUP($A287,'Privacy Analyst Evaluation'!$A$46:$K$120,7,0)&amp;""</f>
        <v>Yes</v>
      </c>
      <c r="H287" s="4" t="str">
        <f>VLOOKUP($A287,'Privacy Analyst Evaluation'!$A$46:$K$120,8,0)&amp;""</f>
        <v/>
      </c>
      <c r="I287" s="4" t="str">
        <f>VLOOKUP($A287,'Privacy Analyst Evaluation'!$A$46:$K$120,9,0)&amp;""</f>
        <v>Standard Importance</v>
      </c>
      <c r="J287" s="4" t="str">
        <f>VLOOKUP($A287,'Privacy Analyst Evaluation'!$A$46:$K$120,10,0)&amp;""</f>
        <v/>
      </c>
      <c r="K287" s="4">
        <f>IF($I287='Auto Responses'!$J$11,20,IF($I287='Auto Responses'!$J$13,5,10))</f>
        <v>10</v>
      </c>
      <c r="L287" s="107">
        <f>IF($E287='Auto Responses'!$L$13, 'Auto Responses'!$J$5,IF(AND($D287='Auto Responses'!$J$27,$H287=""),'Auto Responses'!$J$5,IF(AND($D287='Auto Responses'!$J$27,$H287='Auto Responses'!$J$7),1,IF(AND($D287='Auto Responses'!$J$27,$H287='Auto Responses'!$J$8),0,IF(OR(AND($F287=$G287,$H287=""),$H287='Auto Responses'!$J$7),1,0)))))</f>
        <v>0</v>
      </c>
      <c r="M287" s="4" t="str">
        <f>VLOOKUP($A287,'Privacy Analyst Evaluation'!$A$46:$K$120,11,0)&amp;""</f>
        <v>FALSE</v>
      </c>
      <c r="N287" s="4">
        <f>IF($J287='Auto Responses'!$J$11,1,IF(AND($J287="",$I287='Auto Responses'!$J$11),1,0))</f>
        <v>0</v>
      </c>
      <c r="O287" s="107">
        <f>IF(OR($E287='Auto Responses'!$L$13,$F$24='Auto Responses'!$J$4,$F287='Auto Responses'!$J$5),'Auto Responses'!$J$5,IF($J287="",$K287,IF($J287='Auto Responses'!$J$13,5,IF($J287='Auto Responses'!$J$12,10,IF($J287='Auto Responses'!$J$11,20,0)))))</f>
        <v>10</v>
      </c>
      <c r="P287" s="107">
        <f>IF(OR($O287='Auto Responses'!$J$5,$L287='Auto Responses'!$J$5),'Auto Responses'!$J$5,$O287*$L287)</f>
        <v>0</v>
      </c>
      <c r="Q287" s="107">
        <f t="shared" si="32"/>
        <v>0</v>
      </c>
      <c r="R287" s="107">
        <f t="shared" si="37"/>
        <v>0</v>
      </c>
      <c r="S287" s="107">
        <f t="shared" si="33"/>
        <v>0</v>
      </c>
      <c r="T287" s="107">
        <f t="shared" si="34"/>
        <v>0</v>
      </c>
      <c r="U287" s="107">
        <f t="shared" si="38"/>
        <v>69</v>
      </c>
      <c r="V287" s="107">
        <f t="shared" si="35"/>
        <v>0</v>
      </c>
    </row>
    <row r="288" spans="1:22" ht="57" x14ac:dyDescent="0.2">
      <c r="A288" s="4" t="str">
        <f>Questions!$A288</f>
        <v>DRPV-09</v>
      </c>
      <c r="B288" s="4" t="str">
        <f t="shared" si="36"/>
        <v>DRPV</v>
      </c>
      <c r="C288" s="4" t="str">
        <f>VLOOKUP($A288,Questions!$A$3:$L$333,2,0)&amp;""</f>
        <v>Do you protect personal information against unauthorized access (both physical and logical)?</v>
      </c>
      <c r="D288" s="4" t="str">
        <f>VLOOKUP($A288,Questions!$A$3:$L$333,11,0)&amp;""</f>
        <v/>
      </c>
      <c r="E288" s="4" t="str">
        <f>VLOOKUP($A288,Questions!$A$3:$L$333,12,0)&amp;""</f>
        <v>Privacy</v>
      </c>
      <c r="F288" s="4" t="str">
        <f>VLOOKUP($A288,'Privacy Analyst Evaluation'!$A$46:$K$120,3,0)&amp;""</f>
        <v/>
      </c>
      <c r="G288" s="4" t="str">
        <f>VLOOKUP($A288,'Privacy Analyst Evaluation'!$A$46:$K$120,7,0)&amp;""</f>
        <v>Yes</v>
      </c>
      <c r="H288" s="4" t="str">
        <f>VLOOKUP($A288,'Privacy Analyst Evaluation'!$A$46:$K$120,8,0)&amp;""</f>
        <v/>
      </c>
      <c r="I288" s="4" t="str">
        <f>VLOOKUP($A288,'Privacy Analyst Evaluation'!$A$46:$K$120,9,0)&amp;""</f>
        <v>Standard Importance</v>
      </c>
      <c r="J288" s="4" t="str">
        <f>VLOOKUP($A288,'Privacy Analyst Evaluation'!$A$46:$K$120,10,0)&amp;""</f>
        <v/>
      </c>
      <c r="K288" s="4">
        <f>IF($I288='Auto Responses'!$J$11,20,IF($I288='Auto Responses'!$J$13,5,10))</f>
        <v>10</v>
      </c>
      <c r="L288" s="107">
        <f>IF($E288='Auto Responses'!$L$13, 'Auto Responses'!$J$5,IF(AND($D288='Auto Responses'!$J$27,$H288=""),'Auto Responses'!$J$5,IF(AND($D288='Auto Responses'!$J$27,$H288='Auto Responses'!$J$7),1,IF(AND($D288='Auto Responses'!$J$27,$H288='Auto Responses'!$J$8),0,IF(OR(AND($F288=$G288,$H288=""),$H288='Auto Responses'!$J$7),1,0)))))</f>
        <v>0</v>
      </c>
      <c r="M288" s="4" t="str">
        <f>VLOOKUP($A288,'Privacy Analyst Evaluation'!$A$46:$K$120,11,0)&amp;""</f>
        <v>FALSE</v>
      </c>
      <c r="N288" s="4">
        <f>IF($J288='Auto Responses'!$J$11,1,IF(AND($J288="",$I288='Auto Responses'!$J$11),1,0))</f>
        <v>0</v>
      </c>
      <c r="O288" s="107">
        <f>IF(OR($E288='Auto Responses'!$L$13,$F$24='Auto Responses'!$J$4,$F288='Auto Responses'!$J$5),'Auto Responses'!$J$5,IF($J288="",$K288,IF($J288='Auto Responses'!$J$13,5,IF($J288='Auto Responses'!$J$12,10,IF($J288='Auto Responses'!$J$11,20,0)))))</f>
        <v>10</v>
      </c>
      <c r="P288" s="107">
        <f>IF(OR($O288='Auto Responses'!$J$5,$L288='Auto Responses'!$J$5),'Auto Responses'!$J$5,$O288*$L288)</f>
        <v>0</v>
      </c>
      <c r="Q288" s="107">
        <f t="shared" si="32"/>
        <v>0</v>
      </c>
      <c r="R288" s="107">
        <f t="shared" si="37"/>
        <v>0</v>
      </c>
      <c r="S288" s="107">
        <f t="shared" si="33"/>
        <v>0</v>
      </c>
      <c r="T288" s="107">
        <f t="shared" si="34"/>
        <v>0</v>
      </c>
      <c r="U288" s="107">
        <f t="shared" si="38"/>
        <v>69</v>
      </c>
      <c r="V288" s="107">
        <f t="shared" si="35"/>
        <v>0</v>
      </c>
    </row>
    <row r="289" spans="1:22" ht="57" x14ac:dyDescent="0.2">
      <c r="A289" s="4" t="str">
        <f>Questions!$A289</f>
        <v>DRPV-10</v>
      </c>
      <c r="B289" s="4" t="str">
        <f t="shared" si="36"/>
        <v>DRPV</v>
      </c>
      <c r="C289" s="4" t="str">
        <f>VLOOKUP($A289,Questions!$A$3:$L$333,2,0)&amp;""</f>
        <v>Do you maintain accurate, complete, and relevant personal information for the purposes identified in the privacy notice?</v>
      </c>
      <c r="D289" s="4" t="str">
        <f>VLOOKUP($A289,Questions!$A$3:$L$333,11,0)&amp;""</f>
        <v/>
      </c>
      <c r="E289" s="4" t="str">
        <f>VLOOKUP($A289,Questions!$A$3:$L$333,12,0)&amp;""</f>
        <v>Privacy</v>
      </c>
      <c r="F289" s="4" t="str">
        <f>VLOOKUP($A289,'Privacy Analyst Evaluation'!$A$46:$K$120,3,0)&amp;""</f>
        <v/>
      </c>
      <c r="G289" s="4" t="str">
        <f>VLOOKUP($A289,'Privacy Analyst Evaluation'!$A$46:$K$120,7,0)&amp;""</f>
        <v>Yes</v>
      </c>
      <c r="H289" s="4" t="str">
        <f>VLOOKUP($A289,'Privacy Analyst Evaluation'!$A$46:$K$120,8,0)&amp;""</f>
        <v/>
      </c>
      <c r="I289" s="4" t="str">
        <f>VLOOKUP($A289,'Privacy Analyst Evaluation'!$A$46:$K$120,9,0)&amp;""</f>
        <v>Standard Importance</v>
      </c>
      <c r="J289" s="4" t="str">
        <f>VLOOKUP($A289,'Privacy Analyst Evaluation'!$A$46:$K$120,10,0)&amp;""</f>
        <v/>
      </c>
      <c r="K289" s="4">
        <f>IF($I289='Auto Responses'!$J$11,20,IF($I289='Auto Responses'!$J$13,5,10))</f>
        <v>10</v>
      </c>
      <c r="L289" s="107">
        <f>IF($E289='Auto Responses'!$L$13, 'Auto Responses'!$J$5,IF(AND($D289='Auto Responses'!$J$27,$H289=""),'Auto Responses'!$J$5,IF(AND($D289='Auto Responses'!$J$27,$H289='Auto Responses'!$J$7),1,IF(AND($D289='Auto Responses'!$J$27,$H289='Auto Responses'!$J$8),0,IF(OR(AND($F289=$G289,$H289=""),$H289='Auto Responses'!$J$7),1,0)))))</f>
        <v>0</v>
      </c>
      <c r="M289" s="4" t="str">
        <f>VLOOKUP($A289,'Privacy Analyst Evaluation'!$A$46:$K$120,11,0)&amp;""</f>
        <v>FALSE</v>
      </c>
      <c r="N289" s="4">
        <f>IF($J289='Auto Responses'!$J$11,1,IF(AND($J289="",$I289='Auto Responses'!$J$11),1,0))</f>
        <v>0</v>
      </c>
      <c r="O289" s="107">
        <f>IF(OR($E289='Auto Responses'!$L$13,$F$24='Auto Responses'!$J$4,$F289='Auto Responses'!$J$5),'Auto Responses'!$J$5,IF($J289="",$K289,IF($J289='Auto Responses'!$J$13,5,IF($J289='Auto Responses'!$J$12,10,IF($J289='Auto Responses'!$J$11,20,0)))))</f>
        <v>10</v>
      </c>
      <c r="P289" s="107">
        <f>IF(OR($O289='Auto Responses'!$J$5,$L289='Auto Responses'!$J$5),'Auto Responses'!$J$5,$O289*$L289)</f>
        <v>0</v>
      </c>
      <c r="Q289" s="107">
        <f t="shared" si="32"/>
        <v>0</v>
      </c>
      <c r="R289" s="107">
        <f t="shared" si="37"/>
        <v>0</v>
      </c>
      <c r="S289" s="107">
        <f t="shared" si="33"/>
        <v>0</v>
      </c>
      <c r="T289" s="107">
        <f t="shared" si="34"/>
        <v>0</v>
      </c>
      <c r="U289" s="107">
        <f t="shared" si="38"/>
        <v>69</v>
      </c>
      <c r="V289" s="107">
        <f t="shared" si="35"/>
        <v>0</v>
      </c>
    </row>
    <row r="290" spans="1:22" ht="57" x14ac:dyDescent="0.2">
      <c r="A290" s="4" t="str">
        <f>Questions!$A290</f>
        <v>DRPV-11</v>
      </c>
      <c r="B290" s="4" t="str">
        <f t="shared" si="36"/>
        <v>DRPV</v>
      </c>
      <c r="C290" s="4" t="str">
        <f>VLOOKUP($A290,Questions!$A$3:$L$333,2,0)&amp;""</f>
        <v>Do you have procedures to address privacy-related noncompliance complaints and disputes?</v>
      </c>
      <c r="D290" s="4" t="str">
        <f>VLOOKUP($A290,Questions!$A$3:$L$333,11,0)&amp;""</f>
        <v/>
      </c>
      <c r="E290" s="4" t="str">
        <f>VLOOKUP($A290,Questions!$A$3:$L$333,12,0)&amp;""</f>
        <v>Privacy</v>
      </c>
      <c r="F290" s="4" t="str">
        <f>VLOOKUP($A290,'Privacy Analyst Evaluation'!$A$46:$K$120,3,0)&amp;""</f>
        <v/>
      </c>
      <c r="G290" s="4" t="str">
        <f>VLOOKUP($A290,'Privacy Analyst Evaluation'!$A$46:$K$120,7,0)&amp;""</f>
        <v>Yes</v>
      </c>
      <c r="H290" s="4" t="str">
        <f>VLOOKUP($A290,'Privacy Analyst Evaluation'!$A$46:$K$120,8,0)&amp;""</f>
        <v/>
      </c>
      <c r="I290" s="4" t="str">
        <f>VLOOKUP($A290,'Privacy Analyst Evaluation'!$A$46:$K$120,9,0)&amp;""</f>
        <v>Standard Importance</v>
      </c>
      <c r="J290" s="4" t="str">
        <f>VLOOKUP($A290,'Privacy Analyst Evaluation'!$A$46:$K$120,10,0)&amp;""</f>
        <v/>
      </c>
      <c r="K290" s="4">
        <f>IF($I290='Auto Responses'!$J$11,20,IF($I290='Auto Responses'!$J$13,5,10))</f>
        <v>10</v>
      </c>
      <c r="L290" s="107">
        <f>IF($E290='Auto Responses'!$L$13, 'Auto Responses'!$J$5,IF(AND($D290='Auto Responses'!$J$27,$H290=""),'Auto Responses'!$J$5,IF(AND($D290='Auto Responses'!$J$27,$H290='Auto Responses'!$J$7),1,IF(AND($D290='Auto Responses'!$J$27,$H290='Auto Responses'!$J$8),0,IF(OR(AND($F290=$G290,$H290=""),$H290='Auto Responses'!$J$7),1,0)))))</f>
        <v>0</v>
      </c>
      <c r="M290" s="4" t="str">
        <f>VLOOKUP($A290,'Privacy Analyst Evaluation'!$A$46:$K$120,11,0)&amp;""</f>
        <v>FALSE</v>
      </c>
      <c r="N290" s="4">
        <f>IF($J290='Auto Responses'!$J$11,1,IF(AND($J290="",$I290='Auto Responses'!$J$11),1,0))</f>
        <v>0</v>
      </c>
      <c r="O290" s="107">
        <f>IF(OR($E290='Auto Responses'!$L$13,$F$24='Auto Responses'!$J$4,$F290='Auto Responses'!$J$5),'Auto Responses'!$J$5,IF($J290="",$K290,IF($J290='Auto Responses'!$J$13,5,IF($J290='Auto Responses'!$J$12,10,IF($J290='Auto Responses'!$J$11,20,0)))))</f>
        <v>10</v>
      </c>
      <c r="P290" s="107">
        <f>IF(OR($O290='Auto Responses'!$J$5,$L290='Auto Responses'!$J$5),'Auto Responses'!$J$5,$O290*$L290)</f>
        <v>0</v>
      </c>
      <c r="Q290" s="107">
        <f t="shared" si="32"/>
        <v>0</v>
      </c>
      <c r="R290" s="107">
        <f t="shared" si="37"/>
        <v>0</v>
      </c>
      <c r="S290" s="107">
        <f t="shared" si="33"/>
        <v>0</v>
      </c>
      <c r="T290" s="107">
        <f t="shared" si="34"/>
        <v>0</v>
      </c>
      <c r="U290" s="107">
        <f t="shared" si="38"/>
        <v>69</v>
      </c>
      <c r="V290" s="107">
        <f t="shared" si="35"/>
        <v>0</v>
      </c>
    </row>
    <row r="291" spans="1:22" ht="57" x14ac:dyDescent="0.2">
      <c r="A291" s="4" t="str">
        <f>Questions!$A291</f>
        <v>DRPV-12</v>
      </c>
      <c r="B291" s="4" t="str">
        <f t="shared" si="36"/>
        <v>DRPV</v>
      </c>
      <c r="C291" s="4" t="str">
        <f>VLOOKUP($A291,Questions!$A$3:$L$333,2,0)&amp;""</f>
        <v>Do you "anonymize," "de-identify," or otherwise mask personal data?</v>
      </c>
      <c r="D291" s="4" t="str">
        <f>VLOOKUP($A291,Questions!$A$3:$L$333,11,0)&amp;""</f>
        <v/>
      </c>
      <c r="E291" s="4" t="str">
        <f>VLOOKUP($A291,Questions!$A$3:$L$333,12,0)&amp;""</f>
        <v>Privacy</v>
      </c>
      <c r="F291" s="4" t="str">
        <f>VLOOKUP($A291,'Privacy Analyst Evaluation'!$A$46:$K$120,3,0)&amp;""</f>
        <v/>
      </c>
      <c r="G291" s="4" t="str">
        <f>VLOOKUP($A291,'Privacy Analyst Evaluation'!$A$46:$K$120,7,0)&amp;""</f>
        <v>Yes</v>
      </c>
      <c r="H291" s="4" t="str">
        <f>VLOOKUP($A291,'Privacy Analyst Evaluation'!$A$46:$K$120,8,0)&amp;""</f>
        <v/>
      </c>
      <c r="I291" s="4" t="str">
        <f>VLOOKUP($A291,'Privacy Analyst Evaluation'!$A$46:$K$120,9,0)&amp;""</f>
        <v>Standard Importance</v>
      </c>
      <c r="J291" s="4" t="str">
        <f>VLOOKUP($A291,'Privacy Analyst Evaluation'!$A$46:$K$120,10,0)&amp;""</f>
        <v/>
      </c>
      <c r="K291" s="4">
        <f>IF($I291='Auto Responses'!$J$11,20,IF($I291='Auto Responses'!$J$13,5,10))</f>
        <v>10</v>
      </c>
      <c r="L291" s="107">
        <f>IF($E291='Auto Responses'!$L$13, 'Auto Responses'!$J$5,IF(AND($D291='Auto Responses'!$J$27,$H291=""),'Auto Responses'!$J$5,IF(AND($D291='Auto Responses'!$J$27,$H291='Auto Responses'!$J$7),1,IF(AND($D291='Auto Responses'!$J$27,$H291='Auto Responses'!$J$8),0,IF(OR(AND($F291=$G291,$H291=""),$H291='Auto Responses'!$J$7),1,0)))))</f>
        <v>0</v>
      </c>
      <c r="M291" s="4" t="str">
        <f>VLOOKUP($A291,'Privacy Analyst Evaluation'!$A$46:$K$120,11,0)&amp;""</f>
        <v>FALSE</v>
      </c>
      <c r="N291" s="4">
        <f>IF($J291='Auto Responses'!$J$11,1,IF(AND($J291="",$I291='Auto Responses'!$J$11),1,0))</f>
        <v>0</v>
      </c>
      <c r="O291" s="107">
        <f>IF(OR($E291='Auto Responses'!$L$13,$F$24='Auto Responses'!$J$4,$F291='Auto Responses'!$J$5),'Auto Responses'!$J$5,IF($J291="",$K291,IF($J291='Auto Responses'!$J$13,5,IF($J291='Auto Responses'!$J$12,10,IF($J291='Auto Responses'!$J$11,20,0)))))</f>
        <v>10</v>
      </c>
      <c r="P291" s="107">
        <f>IF(OR($O291='Auto Responses'!$J$5,$L291='Auto Responses'!$J$5),'Auto Responses'!$J$5,$O291*$L291)</f>
        <v>0</v>
      </c>
      <c r="Q291" s="107">
        <f t="shared" si="32"/>
        <v>0</v>
      </c>
      <c r="R291" s="107">
        <f t="shared" si="37"/>
        <v>0</v>
      </c>
      <c r="S291" s="107">
        <f t="shared" si="33"/>
        <v>0</v>
      </c>
      <c r="T291" s="107">
        <f t="shared" si="34"/>
        <v>0</v>
      </c>
      <c r="U291" s="107">
        <f t="shared" si="38"/>
        <v>69</v>
      </c>
      <c r="V291" s="107">
        <f t="shared" si="35"/>
        <v>0</v>
      </c>
    </row>
    <row r="292" spans="1:22" ht="99.75" x14ac:dyDescent="0.2">
      <c r="A292" s="4" t="str">
        <f>Questions!$A292</f>
        <v>DRPV-13</v>
      </c>
      <c r="B292" s="4" t="str">
        <f t="shared" si="36"/>
        <v>DRPV</v>
      </c>
      <c r="C292" s="4" t="str">
        <f>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4" t="str">
        <f>VLOOKUP($A292,Questions!$A$3:$L$333,11,0)&amp;""</f>
        <v/>
      </c>
      <c r="E292" s="4" t="str">
        <f>VLOOKUP($A292,Questions!$A$3:$L$333,12,0)&amp;""</f>
        <v>Privacy</v>
      </c>
      <c r="F292" s="4" t="str">
        <f>VLOOKUP($A292,'Privacy Analyst Evaluation'!$A$46:$K$120,3,0)&amp;""</f>
        <v/>
      </c>
      <c r="G292" s="4" t="str">
        <f>VLOOKUP($A292,'Privacy Analyst Evaluation'!$A$46:$K$120,7,0)&amp;""</f>
        <v>No</v>
      </c>
      <c r="H292" s="4" t="str">
        <f>VLOOKUP($A292,'Privacy Analyst Evaluation'!$A$46:$K$120,8,0)&amp;""</f>
        <v/>
      </c>
      <c r="I292" s="4" t="str">
        <f>VLOOKUP($A292,'Privacy Analyst Evaluation'!$A$46:$K$120,9,0)&amp;""</f>
        <v>Standard Importance</v>
      </c>
      <c r="J292" s="4" t="str">
        <f>VLOOKUP($A292,'Privacy Analyst Evaluation'!$A$46:$K$120,10,0)&amp;""</f>
        <v/>
      </c>
      <c r="K292" s="4">
        <f>IF($I292='Auto Responses'!$J$11,20,IF($I292='Auto Responses'!$J$13,5,10))</f>
        <v>10</v>
      </c>
      <c r="L292" s="107">
        <f>IF($E292='Auto Responses'!$L$13, 'Auto Responses'!$J$5,IF(AND($D292='Auto Responses'!$J$27,$H292=""),'Auto Responses'!$J$5,IF(AND($D292='Auto Responses'!$J$27,$H292='Auto Responses'!$J$7),1,IF(AND($D292='Auto Responses'!$J$27,$H292='Auto Responses'!$J$8),0,IF(OR(AND($F292=$G292,$H292=""),$H292='Auto Responses'!$J$7),1,0)))))</f>
        <v>0</v>
      </c>
      <c r="M292" s="4" t="str">
        <f>VLOOKUP($A292,'Privacy Analyst Evaluation'!$A$46:$K$120,11,0)&amp;""</f>
        <v>FALSE</v>
      </c>
      <c r="N292" s="4">
        <f>IF($J292='Auto Responses'!$J$11,1,IF(AND($J292="",$I292='Auto Responses'!$J$11),1,0))</f>
        <v>0</v>
      </c>
      <c r="O292" s="107">
        <f>IF(OR($E292='Auto Responses'!$L$13,$F$24='Auto Responses'!$J$4,$F292='Auto Responses'!$J$5),'Auto Responses'!$J$5,IF($J292="",$K292,IF($J292='Auto Responses'!$J$13,5,IF($J292='Auto Responses'!$J$12,10,IF($J292='Auto Responses'!$J$11,20,0)))))</f>
        <v>10</v>
      </c>
      <c r="P292" s="107">
        <f>IF(OR($O292='Auto Responses'!$J$5,$L292='Auto Responses'!$J$5),'Auto Responses'!$J$5,$O292*$L292)</f>
        <v>0</v>
      </c>
      <c r="Q292" s="107">
        <f t="shared" si="32"/>
        <v>0</v>
      </c>
      <c r="R292" s="107">
        <f t="shared" si="37"/>
        <v>0</v>
      </c>
      <c r="S292" s="107">
        <f t="shared" si="33"/>
        <v>0</v>
      </c>
      <c r="T292" s="107">
        <f t="shared" si="34"/>
        <v>0</v>
      </c>
      <c r="U292" s="107">
        <f t="shared" si="38"/>
        <v>69</v>
      </c>
      <c r="V292" s="107">
        <f t="shared" si="35"/>
        <v>0</v>
      </c>
    </row>
    <row r="293" spans="1:22" ht="57" x14ac:dyDescent="0.2">
      <c r="A293" s="4" t="str">
        <f>Questions!$A293</f>
        <v>DRPV-14</v>
      </c>
      <c r="B293" s="4" t="str">
        <f t="shared" si="36"/>
        <v>DRPV</v>
      </c>
      <c r="C293" s="4" t="str">
        <f>VLOOKUP($A293,Questions!$A$3:$L$333,2,0)&amp;""</f>
        <v>Do you certify stop-processing requests, including any data that is processed by a third party on your behalf?</v>
      </c>
      <c r="D293" s="4" t="str">
        <f>VLOOKUP($A293,Questions!$A$3:$L$333,11,0)&amp;""</f>
        <v/>
      </c>
      <c r="E293" s="4" t="str">
        <f>VLOOKUP($A293,Questions!$A$3:$L$333,12,0)&amp;""</f>
        <v>Privacy</v>
      </c>
      <c r="F293" s="4" t="str">
        <f>VLOOKUP($A293,'Privacy Analyst Evaluation'!$A$46:$K$120,3,0)&amp;""</f>
        <v/>
      </c>
      <c r="G293" s="4" t="str">
        <f>VLOOKUP($A293,'Privacy Analyst Evaluation'!$A$46:$K$120,7,0)&amp;""</f>
        <v>Yes</v>
      </c>
      <c r="H293" s="4" t="str">
        <f>VLOOKUP($A293,'Privacy Analyst Evaluation'!$A$46:$K$120,8,0)&amp;""</f>
        <v/>
      </c>
      <c r="I293" s="4" t="str">
        <f>VLOOKUP($A293,'Privacy Analyst Evaluation'!$A$46:$K$120,9,0)&amp;""</f>
        <v>Standard Importance</v>
      </c>
      <c r="J293" s="4" t="str">
        <f>VLOOKUP($A293,'Privacy Analyst Evaluation'!$A$46:$K$120,10,0)&amp;""</f>
        <v/>
      </c>
      <c r="K293" s="4">
        <f>IF($I293='Auto Responses'!$J$11,20,IF($I293='Auto Responses'!$J$13,5,10))</f>
        <v>10</v>
      </c>
      <c r="L293" s="107">
        <f>IF($E293='Auto Responses'!$L$13, 'Auto Responses'!$J$5,IF(AND($D293='Auto Responses'!$J$27,$H293=""),'Auto Responses'!$J$5,IF(AND($D293='Auto Responses'!$J$27,$H293='Auto Responses'!$J$7),1,IF(AND($D293='Auto Responses'!$J$27,$H293='Auto Responses'!$J$8),0,IF(OR(AND($F293=$G293,$H293=""),$H293='Auto Responses'!$J$7),1,0)))))</f>
        <v>0</v>
      </c>
      <c r="M293" s="4" t="str">
        <f>VLOOKUP($A293,'Privacy Analyst Evaluation'!$A$46:$K$120,11,0)&amp;""</f>
        <v>FALSE</v>
      </c>
      <c r="N293" s="4">
        <f>IF($J293='Auto Responses'!$J$11,1,IF(AND($J293="",$I293='Auto Responses'!$J$11),1,0))</f>
        <v>0</v>
      </c>
      <c r="O293" s="107">
        <f>IF(OR($E293='Auto Responses'!$L$13,$F$24='Auto Responses'!$J$4,$F293='Auto Responses'!$J$5),'Auto Responses'!$J$5,IF($J293="",$K293,IF($J293='Auto Responses'!$J$13,5,IF($J293='Auto Responses'!$J$12,10,IF($J293='Auto Responses'!$J$11,20,0)))))</f>
        <v>10</v>
      </c>
      <c r="P293" s="107">
        <f>IF(OR($O293='Auto Responses'!$J$5,$L293='Auto Responses'!$J$5),'Auto Responses'!$J$5,$O293*$L293)</f>
        <v>0</v>
      </c>
      <c r="Q293" s="107">
        <f t="shared" si="32"/>
        <v>0</v>
      </c>
      <c r="R293" s="107">
        <f t="shared" si="37"/>
        <v>0</v>
      </c>
      <c r="S293" s="107">
        <f t="shared" si="33"/>
        <v>0</v>
      </c>
      <c r="T293" s="107">
        <f t="shared" si="34"/>
        <v>0</v>
      </c>
      <c r="U293" s="107">
        <f t="shared" si="38"/>
        <v>69</v>
      </c>
      <c r="V293" s="107">
        <f t="shared" si="35"/>
        <v>0</v>
      </c>
    </row>
    <row r="294" spans="1:22" ht="57" x14ac:dyDescent="0.2">
      <c r="A294" s="4" t="str">
        <f>Questions!$A294</f>
        <v>DRPV-15</v>
      </c>
      <c r="B294" s="4" t="str">
        <f t="shared" si="36"/>
        <v>DRPV</v>
      </c>
      <c r="C294" s="4" t="str">
        <f>VLOOKUP($A294,Questions!$A$3:$L$333,2,0)&amp;""</f>
        <v>Do you have a process to review code for ethical considerations?</v>
      </c>
      <c r="D294" s="4" t="str">
        <f>VLOOKUP($A294,Questions!$A$3:$L$333,11,0)&amp;""</f>
        <v/>
      </c>
      <c r="E294" s="4" t="str">
        <f>VLOOKUP($A294,Questions!$A$3:$L$333,12,0)&amp;""</f>
        <v>Privacy</v>
      </c>
      <c r="F294" s="4" t="str">
        <f>VLOOKUP($A294,'Privacy Analyst Evaluation'!$A$46:$K$120,3,0)&amp;""</f>
        <v/>
      </c>
      <c r="G294" s="4" t="str">
        <f>VLOOKUP($A294,'Privacy Analyst Evaluation'!$A$46:$K$120,7,0)&amp;""</f>
        <v>Yes</v>
      </c>
      <c r="H294" s="4" t="str">
        <f>VLOOKUP($A294,'Privacy Analyst Evaluation'!$A$46:$K$120,8,0)&amp;""</f>
        <v/>
      </c>
      <c r="I294" s="4" t="str">
        <f>VLOOKUP($A294,'Privacy Analyst Evaluation'!$A$46:$K$120,9,0)&amp;""</f>
        <v>Standard Importance</v>
      </c>
      <c r="J294" s="4" t="str">
        <f>VLOOKUP($A294,'Privacy Analyst Evaluation'!$A$46:$K$120,10,0)&amp;""</f>
        <v/>
      </c>
      <c r="K294" s="4">
        <f>IF($I294='Auto Responses'!$J$11,20,IF($I294='Auto Responses'!$J$13,5,10))</f>
        <v>10</v>
      </c>
      <c r="L294" s="107">
        <f>IF($E294='Auto Responses'!$L$13, 'Auto Responses'!$J$5,IF(AND($D294='Auto Responses'!$J$27,$H294=""),'Auto Responses'!$J$5,IF(AND($D294='Auto Responses'!$J$27,$H294='Auto Responses'!$J$7),1,IF(AND($D294='Auto Responses'!$J$27,$H294='Auto Responses'!$J$8),0,IF(OR(AND($F294=$G294,$H294=""),$H294='Auto Responses'!$J$7),1,0)))))</f>
        <v>0</v>
      </c>
      <c r="M294" s="4" t="str">
        <f>VLOOKUP($A294,'Privacy Analyst Evaluation'!$A$46:$K$120,11,0)&amp;""</f>
        <v>FALSE</v>
      </c>
      <c r="N294" s="4">
        <f>IF($J294='Auto Responses'!$J$11,1,IF(AND($J294="",$I294='Auto Responses'!$J$11),1,0))</f>
        <v>0</v>
      </c>
      <c r="O294" s="107">
        <f>IF(OR($E294='Auto Responses'!$L$13,$F$24='Auto Responses'!$J$4,$F294='Auto Responses'!$J$5),'Auto Responses'!$J$5,IF($J294="",$K294,IF($J294='Auto Responses'!$J$13,5,IF($J294='Auto Responses'!$J$12,10,IF($J294='Auto Responses'!$J$11,20,0)))))</f>
        <v>10</v>
      </c>
      <c r="P294" s="107">
        <f>IF(OR($O294='Auto Responses'!$J$5,$L294='Auto Responses'!$J$5),'Auto Responses'!$J$5,$O294*$L294)</f>
        <v>0</v>
      </c>
      <c r="Q294" s="107">
        <f t="shared" si="32"/>
        <v>0</v>
      </c>
      <c r="R294" s="107">
        <f t="shared" si="37"/>
        <v>0</v>
      </c>
      <c r="S294" s="107">
        <f t="shared" si="33"/>
        <v>0</v>
      </c>
      <c r="T294" s="107">
        <f t="shared" si="34"/>
        <v>0</v>
      </c>
      <c r="U294" s="107">
        <f t="shared" si="38"/>
        <v>69</v>
      </c>
      <c r="V294" s="107">
        <f t="shared" si="35"/>
        <v>0</v>
      </c>
    </row>
    <row r="295" spans="1:22" ht="57" x14ac:dyDescent="0.2">
      <c r="A295" s="4" t="str">
        <f>Questions!$A295</f>
        <v>DPAI-01</v>
      </c>
      <c r="B295" s="4" t="str">
        <f t="shared" si="36"/>
        <v>DPAI</v>
      </c>
      <c r="C295" s="4" t="str">
        <f>VLOOKUP($A295,Questions!$A$3:$L$333,2,0)&amp;""</f>
        <v>Does your service use AI for the processing of institutional data?</v>
      </c>
      <c r="D295" s="4" t="str">
        <f>VLOOKUP($A295,Questions!$A$3:$L$333,11,0)&amp;""</f>
        <v/>
      </c>
      <c r="E295" s="4" t="str">
        <f>VLOOKUP($A295,Questions!$A$3:$L$333,12,0)&amp;""</f>
        <v>Privacy</v>
      </c>
      <c r="F295" s="4" t="str">
        <f>VLOOKUP($A295,'Privacy Analyst Evaluation'!$A$46:$K$120,3,0)&amp;""</f>
        <v/>
      </c>
      <c r="G295" s="4" t="str">
        <f>VLOOKUP($A295,'Privacy Analyst Evaluation'!$A$46:$K$120,7,0)&amp;""</f>
        <v>No</v>
      </c>
      <c r="H295" s="4" t="str">
        <f>VLOOKUP($A295,'Privacy Analyst Evaluation'!$A$46:$K$120,8,0)&amp;""</f>
        <v/>
      </c>
      <c r="I295" s="4" t="str">
        <f>VLOOKUP($A295,'Privacy Analyst Evaluation'!$A$46:$K$120,9,0)&amp;""</f>
        <v>Standard Importance</v>
      </c>
      <c r="J295" s="4" t="str">
        <f>VLOOKUP($A295,'Privacy Analyst Evaluation'!$A$46:$K$120,10,0)&amp;""</f>
        <v/>
      </c>
      <c r="K295" s="4">
        <f>IF($I295='Auto Responses'!$J$11,20,IF($I295='Auto Responses'!$J$13,5,10))</f>
        <v>10</v>
      </c>
      <c r="L295" s="107">
        <f>IF($E295='Auto Responses'!$L$13, 'Auto Responses'!$J$5,IF(AND($D295='Auto Responses'!$J$27,$H295=""),'Auto Responses'!$J$5,IF(AND($D295='Auto Responses'!$J$27,$H295='Auto Responses'!$J$7),1,IF(AND($D295='Auto Responses'!$J$27,$H295='Auto Responses'!$J$8),0,IF(OR(AND($F295=$G295,$H295=""),$H295='Auto Responses'!$J$7),1,0)))))</f>
        <v>0</v>
      </c>
      <c r="M295" s="4" t="str">
        <f>VLOOKUP($A295,'Privacy Analyst Evaluation'!$A$46:$K$120,11,0)&amp;""</f>
        <v>FALSE</v>
      </c>
      <c r="N295" s="4">
        <f>IF($J295='Auto Responses'!$J$11,1,IF(AND($J295="",$I295='Auto Responses'!$J$11),1,0))</f>
        <v>0</v>
      </c>
      <c r="O295" s="107">
        <f>IF(OR($E295='Auto Responses'!$L$13,$F295='Auto Responses'!$J$5,$F$24='Auto Responses'!$J$4),'Auto Responses'!$J$5,IF($J295="",$K295,IF($J295='Auto Responses'!$J$13,5,IF($J295='Auto Responses'!$J$12,10,IF($J295='Auto Responses'!$J$11,20,0)))))</f>
        <v>10</v>
      </c>
      <c r="P295" s="107">
        <f>IF(OR($O295='Auto Responses'!$J$5,$L295='Auto Responses'!$J$5),'Auto Responses'!$J$5,$O295*$L295)</f>
        <v>0</v>
      </c>
      <c r="Q295" s="107">
        <f t="shared" si="32"/>
        <v>0</v>
      </c>
      <c r="R295" s="107">
        <f t="shared" si="37"/>
        <v>0</v>
      </c>
      <c r="S295" s="107">
        <f t="shared" si="33"/>
        <v>0</v>
      </c>
      <c r="T295" s="107">
        <f t="shared" si="34"/>
        <v>0</v>
      </c>
      <c r="U295" s="107">
        <f t="shared" si="38"/>
        <v>69</v>
      </c>
      <c r="V295" s="107">
        <f t="shared" si="35"/>
        <v>0</v>
      </c>
    </row>
    <row r="296" spans="1:22" ht="57" x14ac:dyDescent="0.2">
      <c r="A296" s="4" t="str">
        <f>Questions!$A296</f>
        <v>DPAI-02</v>
      </c>
      <c r="B296" s="4" t="str">
        <f t="shared" si="36"/>
        <v>DPAI</v>
      </c>
      <c r="C296" s="4" t="str">
        <f>VLOOKUP($A296,Questions!$A$3:$L$333,2,0)&amp;""</f>
        <v>Is any institutional data retained in AI processing?*</v>
      </c>
      <c r="D296" s="4" t="str">
        <f>VLOOKUP($A296,Questions!$A$3:$L$333,11,0)&amp;""</f>
        <v/>
      </c>
      <c r="E296" s="4" t="str">
        <f>VLOOKUP($A296,Questions!$A$3:$L$333,12,0)&amp;""</f>
        <v>Privacy</v>
      </c>
      <c r="F296" s="4" t="str">
        <f>VLOOKUP($A296,'Privacy Analyst Evaluation'!$A$46:$K$120,3,0)&amp;""</f>
        <v/>
      </c>
      <c r="G296" s="4" t="str">
        <f>VLOOKUP($A296,'Privacy Analyst Evaluation'!$A$46:$K$120,7,0)&amp;""</f>
        <v>No</v>
      </c>
      <c r="H296" s="4" t="str">
        <f>VLOOKUP($A296,'Privacy Analyst Evaluation'!$A$46:$K$120,8,0)&amp;""</f>
        <v/>
      </c>
      <c r="I296" s="4" t="str">
        <f>VLOOKUP($A296,'Privacy Analyst Evaluation'!$A$46:$K$120,9,0)&amp;""</f>
        <v>Critical Importance</v>
      </c>
      <c r="J296" s="4" t="str">
        <f>VLOOKUP($A296,'Privacy Analyst Evaluation'!$A$46:$K$120,10,0)&amp;""</f>
        <v/>
      </c>
      <c r="K296" s="4">
        <f>IF($I296='Auto Responses'!$J$11,20,IF($I296='Auto Responses'!$J$13,5,10))</f>
        <v>20</v>
      </c>
      <c r="L296" s="107">
        <f>IF($E296='Auto Responses'!$L$13, 'Auto Responses'!$J$5,IF(AND($D296='Auto Responses'!$J$27,$H296=""),'Auto Responses'!$J$5,IF(AND($D296='Auto Responses'!$J$27,$H296='Auto Responses'!$J$7),1,IF(AND($D296='Auto Responses'!$J$27,$H296='Auto Responses'!$J$8),0,IF(OR(AND($F296=$G296,$H296=""),$H296='Auto Responses'!$J$7),1,0)))))</f>
        <v>0</v>
      </c>
      <c r="M296" s="4" t="str">
        <f>VLOOKUP($A296,'Privacy Analyst Evaluation'!$A$46:$K$120,11,0)&amp;""</f>
        <v>FALSE</v>
      </c>
      <c r="N296" s="4">
        <f>IF($J296='Auto Responses'!$J$11,1,IF(AND($J296="",$I296='Auto Responses'!$J$11),1,0))</f>
        <v>1</v>
      </c>
      <c r="O296" s="107">
        <f>IF(OR($E296='Auto Responses'!$L$13,$F296='Auto Responses'!$J$5,$F$24='Auto Responses'!$J$4),'Auto Responses'!$J$5,IF($J296="",$K296,IF($J296='Auto Responses'!$J$13,5,IF($J296='Auto Responses'!$J$12,10,IF($J296='Auto Responses'!$J$11,20,0)))))</f>
        <v>20</v>
      </c>
      <c r="P296" s="107">
        <f>IF(OR($O296='Auto Responses'!$J$5,$L296='Auto Responses'!$J$5),'Auto Responses'!$J$5,$O296*$L296)</f>
        <v>0</v>
      </c>
      <c r="Q296" s="107">
        <f t="shared" si="32"/>
        <v>0</v>
      </c>
      <c r="R296" s="107">
        <f t="shared" si="37"/>
        <v>0</v>
      </c>
      <c r="S296" s="107">
        <f t="shared" si="33"/>
        <v>0</v>
      </c>
      <c r="T296" s="107">
        <f t="shared" si="34"/>
        <v>1</v>
      </c>
      <c r="U296" s="107">
        <f t="shared" si="38"/>
        <v>70</v>
      </c>
      <c r="V296" s="107">
        <f t="shared" si="35"/>
        <v>70</v>
      </c>
    </row>
    <row r="297" spans="1:22" ht="57" x14ac:dyDescent="0.2">
      <c r="A297" s="4" t="str">
        <f>Questions!$A297</f>
        <v>DPAI-03</v>
      </c>
      <c r="B297" s="4" t="str">
        <f t="shared" si="36"/>
        <v>DPAI</v>
      </c>
      <c r="C297" s="4" t="str">
        <f>VLOOKUP($A297,Questions!$A$3:$L$333,2,0)&amp;""</f>
        <v>Do you have agreements in place with third parties or subprocessors regarding the protection of customer data and use of AI?*</v>
      </c>
      <c r="D297" s="4" t="str">
        <f>VLOOKUP($A297,Questions!$A$3:$L$333,11,0)&amp;""</f>
        <v/>
      </c>
      <c r="E297" s="4" t="str">
        <f>VLOOKUP($A297,Questions!$A$3:$L$333,12,0)&amp;""</f>
        <v>Privacy</v>
      </c>
      <c r="F297" s="4" t="str">
        <f>VLOOKUP($A297,'Privacy Analyst Evaluation'!$A$46:$K$120,3,0)&amp;""</f>
        <v/>
      </c>
      <c r="G297" s="4" t="str">
        <f>VLOOKUP($A297,'Privacy Analyst Evaluation'!$A$46:$K$120,7,0)&amp;""</f>
        <v>Yes</v>
      </c>
      <c r="H297" s="4" t="str">
        <f>VLOOKUP($A297,'Privacy Analyst Evaluation'!$A$46:$K$120,8,0)&amp;""</f>
        <v/>
      </c>
      <c r="I297" s="4" t="str">
        <f>VLOOKUP($A297,'Privacy Analyst Evaluation'!$A$46:$K$120,9,0)&amp;""</f>
        <v>Critical Importance</v>
      </c>
      <c r="J297" s="4" t="str">
        <f>VLOOKUP($A297,'Privacy Analyst Evaluation'!$A$46:$K$120,10,0)&amp;""</f>
        <v/>
      </c>
      <c r="K297" s="4">
        <f>IF($I297='Auto Responses'!$J$11,20,IF($I297='Auto Responses'!$J$13,5,10))</f>
        <v>20</v>
      </c>
      <c r="L297" s="107">
        <f>IF($E297='Auto Responses'!$L$13, 'Auto Responses'!$J$5,IF(AND($D297='Auto Responses'!$J$27,$H297=""),'Auto Responses'!$J$5,IF(AND($D297='Auto Responses'!$J$27,$H297='Auto Responses'!$J$7),1,IF(AND($D297='Auto Responses'!$J$27,$H297='Auto Responses'!$J$8),0,IF(OR(AND($F297=$G297,$H297=""),$H297='Auto Responses'!$J$7),1,0)))))</f>
        <v>0</v>
      </c>
      <c r="M297" s="4" t="str">
        <f>VLOOKUP($A297,'Privacy Analyst Evaluation'!$A$46:$K$120,11,0)&amp;""</f>
        <v>FALSE</v>
      </c>
      <c r="N297" s="4">
        <f>IF($J297='Auto Responses'!$J$11,1,IF(AND($J297="",$I297='Auto Responses'!$J$11),1,0))</f>
        <v>1</v>
      </c>
      <c r="O297" s="107">
        <f>IF(OR($E297='Auto Responses'!$L$13,$F297='Auto Responses'!$J$5,$F$24='Auto Responses'!$J$4),'Auto Responses'!$J$5,IF($J297="",$K297,IF($J297='Auto Responses'!$J$13,5,IF($J297='Auto Responses'!$J$12,10,IF($J297='Auto Responses'!$J$11,20,0)))))</f>
        <v>20</v>
      </c>
      <c r="P297" s="107">
        <f>IF(OR($O297='Auto Responses'!$J$5,$L297='Auto Responses'!$J$5),'Auto Responses'!$J$5,$O297*$L297)</f>
        <v>0</v>
      </c>
      <c r="Q297" s="107">
        <f t="shared" si="32"/>
        <v>0</v>
      </c>
      <c r="R297" s="107">
        <f t="shared" si="37"/>
        <v>0</v>
      </c>
      <c r="S297" s="107">
        <f t="shared" si="33"/>
        <v>0</v>
      </c>
      <c r="T297" s="107">
        <f t="shared" si="34"/>
        <v>1</v>
      </c>
      <c r="U297" s="107">
        <f t="shared" si="38"/>
        <v>71</v>
      </c>
      <c r="V297" s="107">
        <f t="shared" si="35"/>
        <v>71</v>
      </c>
    </row>
    <row r="298" spans="1:22" ht="57" x14ac:dyDescent="0.2">
      <c r="A298" s="4" t="str">
        <f>Questions!$A298</f>
        <v>DPAI-04</v>
      </c>
      <c r="B298" s="4" t="str">
        <f t="shared" si="36"/>
        <v>DPAI</v>
      </c>
      <c r="C298" s="4" t="str">
        <f>VLOOKUP($A298,Questions!$A$3:$L$333,2,0)&amp;""</f>
        <v>Will institutional data be processed through a third party or subprocessor that also uses AI?</v>
      </c>
      <c r="D298" s="4" t="str">
        <f>VLOOKUP($A298,Questions!$A$3:$L$333,11,0)&amp;""</f>
        <v/>
      </c>
      <c r="E298" s="4" t="str">
        <f>VLOOKUP($A298,Questions!$A$3:$L$333,12,0)&amp;""</f>
        <v>Privacy</v>
      </c>
      <c r="F298" s="4" t="str">
        <f>VLOOKUP($A298,'Privacy Analyst Evaluation'!$A$46:$K$120,3,0)&amp;""</f>
        <v/>
      </c>
      <c r="G298" s="4" t="str">
        <f>VLOOKUP($A298,'Privacy Analyst Evaluation'!$A$46:$K$120,7,0)&amp;""</f>
        <v>No</v>
      </c>
      <c r="H298" s="4" t="str">
        <f>VLOOKUP($A298,'Privacy Analyst Evaluation'!$A$46:$K$120,8,0)&amp;""</f>
        <v/>
      </c>
      <c r="I298" s="4" t="str">
        <f>VLOOKUP($A298,'Privacy Analyst Evaluation'!$A$46:$K$120,9,0)&amp;""</f>
        <v>Standard Importance</v>
      </c>
      <c r="J298" s="4" t="str">
        <f>VLOOKUP($A298,'Privacy Analyst Evaluation'!$A$46:$K$120,10,0)&amp;""</f>
        <v/>
      </c>
      <c r="K298" s="4">
        <f>IF($I298='Auto Responses'!$J$11,20,IF($I298='Auto Responses'!$J$13,5,10))</f>
        <v>10</v>
      </c>
      <c r="L298" s="107">
        <f>IF($E298='Auto Responses'!$L$13, 'Auto Responses'!$J$5,IF(AND($D298='Auto Responses'!$J$27,$H298=""),'Auto Responses'!$J$5,IF(AND($D298='Auto Responses'!$J$27,$H298='Auto Responses'!$J$7),1,IF(AND($D298='Auto Responses'!$J$27,$H298='Auto Responses'!$J$8),0,IF(OR(AND($F298=$G298,$H298=""),$H298='Auto Responses'!$J$7),1,0)))))</f>
        <v>0</v>
      </c>
      <c r="M298" s="4" t="str">
        <f>VLOOKUP($A298,'Privacy Analyst Evaluation'!$A$46:$K$120,11,0)&amp;""</f>
        <v>FALSE</v>
      </c>
      <c r="N298" s="4">
        <f>IF($J298='Auto Responses'!$J$11,1,IF(AND($J298="",$I298='Auto Responses'!$J$11),1,0))</f>
        <v>0</v>
      </c>
      <c r="O298" s="107">
        <f>IF(OR($E298='Auto Responses'!$L$13,$F298='Auto Responses'!$J$5,$F$24='Auto Responses'!$J$4),'Auto Responses'!$J$5,IF($J298="",$K298,IF($J298='Auto Responses'!$J$13,5,IF($J298='Auto Responses'!$J$12,10,IF($J298='Auto Responses'!$J$11,20,0)))))</f>
        <v>10</v>
      </c>
      <c r="P298" s="107">
        <f>IF(OR($O298='Auto Responses'!$J$5,$L298='Auto Responses'!$J$5),'Auto Responses'!$J$5,$O298*$L298)</f>
        <v>0</v>
      </c>
      <c r="Q298" s="107">
        <f t="shared" si="32"/>
        <v>0</v>
      </c>
      <c r="R298" s="107">
        <f t="shared" si="37"/>
        <v>0</v>
      </c>
      <c r="S298" s="107">
        <f t="shared" si="33"/>
        <v>0</v>
      </c>
      <c r="T298" s="107">
        <f t="shared" si="34"/>
        <v>0</v>
      </c>
      <c r="U298" s="107">
        <f t="shared" si="38"/>
        <v>71</v>
      </c>
      <c r="V298" s="107">
        <f t="shared" si="35"/>
        <v>0</v>
      </c>
    </row>
    <row r="299" spans="1:22" ht="57" x14ac:dyDescent="0.2">
      <c r="A299" s="4" t="str">
        <f>Questions!$A299</f>
        <v>DPAI-05</v>
      </c>
      <c r="B299" s="4" t="str">
        <f t="shared" si="36"/>
        <v>DPAI</v>
      </c>
      <c r="C299" s="4" t="str">
        <f>VLOOKUP($A299,Questions!$A$3:$L$333,2,0)&amp;""</f>
        <v>Is AI processing limited to fully licensed commercial enterprise AI services?</v>
      </c>
      <c r="D299" s="4" t="str">
        <f>VLOOKUP($A299,Questions!$A$3:$L$333,11,0)&amp;""</f>
        <v/>
      </c>
      <c r="E299" s="4" t="str">
        <f>VLOOKUP($A299,Questions!$A$3:$L$333,12,0)&amp;""</f>
        <v>Privacy</v>
      </c>
      <c r="F299" s="4" t="str">
        <f>VLOOKUP($A299,'Privacy Analyst Evaluation'!$A$46:$K$120,3,0)&amp;""</f>
        <v/>
      </c>
      <c r="G299" s="4" t="str">
        <f>VLOOKUP($A299,'Privacy Analyst Evaluation'!$A$46:$K$120,7,0)&amp;""</f>
        <v>Yes</v>
      </c>
      <c r="H299" s="4" t="str">
        <f>VLOOKUP($A299,'Privacy Analyst Evaluation'!$A$46:$K$120,8,0)&amp;""</f>
        <v/>
      </c>
      <c r="I299" s="4" t="str">
        <f>VLOOKUP($A299,'Privacy Analyst Evaluation'!$A$46:$K$120,9,0)&amp;""</f>
        <v>Minor Importance</v>
      </c>
      <c r="J299" s="4" t="str">
        <f>VLOOKUP($A299,'Privacy Analyst Evaluation'!$A$46:$K$120,10,0)&amp;""</f>
        <v/>
      </c>
      <c r="K299" s="4">
        <f>IF($I299='Auto Responses'!$J$11,20,IF($I299='Auto Responses'!$J$13,5,10))</f>
        <v>5</v>
      </c>
      <c r="L299" s="107">
        <f>IF($E299='Auto Responses'!$L$13, 'Auto Responses'!$J$5,IF(AND($D299='Auto Responses'!$J$27,$H299=""),'Auto Responses'!$J$5,IF(AND($D299='Auto Responses'!$J$27,$H299='Auto Responses'!$J$7),1,IF(AND($D299='Auto Responses'!$J$27,$H299='Auto Responses'!$J$8),0,IF(OR(AND($F299=$G299,$H299=""),$H299='Auto Responses'!$J$7),1,0)))))</f>
        <v>0</v>
      </c>
      <c r="M299" s="4" t="str">
        <f>VLOOKUP($A299,'Privacy Analyst Evaluation'!$A$46:$K$120,11,0)&amp;""</f>
        <v>FALSE</v>
      </c>
      <c r="N299" s="4">
        <f>IF($J299='Auto Responses'!$J$11,1,IF(AND($J299="",$I299='Auto Responses'!$J$11),1,0))</f>
        <v>0</v>
      </c>
      <c r="O299" s="107">
        <f>IF(OR($E299='Auto Responses'!$L$13,$F299='Auto Responses'!$J$5,$F$24='Auto Responses'!$J$4),'Auto Responses'!$J$5,IF($J299="",$K299,IF($J299='Auto Responses'!$J$13,5,IF($J299='Auto Responses'!$J$12,10,IF($J299='Auto Responses'!$J$11,20,0)))))</f>
        <v>5</v>
      </c>
      <c r="P299" s="107">
        <f>IF(OR($O299='Auto Responses'!$J$5,$L299='Auto Responses'!$J$5),'Auto Responses'!$J$5,$O299*$L299)</f>
        <v>0</v>
      </c>
      <c r="Q299" s="107">
        <f t="shared" si="32"/>
        <v>0</v>
      </c>
      <c r="R299" s="107">
        <f t="shared" si="37"/>
        <v>0</v>
      </c>
      <c r="S299" s="107">
        <f t="shared" si="33"/>
        <v>0</v>
      </c>
      <c r="T299" s="107">
        <f t="shared" si="34"/>
        <v>0</v>
      </c>
      <c r="U299" s="107">
        <f t="shared" si="38"/>
        <v>71</v>
      </c>
      <c r="V299" s="107">
        <f t="shared" si="35"/>
        <v>0</v>
      </c>
    </row>
    <row r="300" spans="1:22" ht="57" x14ac:dyDescent="0.2">
      <c r="A300" s="4" t="str">
        <f>Questions!$A300</f>
        <v>DPAI-06</v>
      </c>
      <c r="B300" s="4" t="str">
        <f t="shared" si="36"/>
        <v>DPAI</v>
      </c>
      <c r="C300" s="4" t="str">
        <f>VLOOKUP($A300,Questions!$A$3:$L$333,2,0)&amp;""</f>
        <v>Will institutional data be used or processed by any shared AI services?</v>
      </c>
      <c r="D300" s="4" t="str">
        <f>VLOOKUP($A300,Questions!$A$3:$L$333,11,0)&amp;""</f>
        <v/>
      </c>
      <c r="E300" s="4" t="str">
        <f>VLOOKUP($A300,Questions!$A$3:$L$333,12,0)&amp;""</f>
        <v>Privacy</v>
      </c>
      <c r="F300" s="4" t="str">
        <f>VLOOKUP($A300,'Privacy Analyst Evaluation'!$A$46:$K$120,3,0)&amp;""</f>
        <v/>
      </c>
      <c r="G300" s="4" t="str">
        <f>VLOOKUP($A300,'Privacy Analyst Evaluation'!$A$46:$K$120,7,0)&amp;""</f>
        <v>No</v>
      </c>
      <c r="H300" s="4" t="str">
        <f>VLOOKUP($A300,'Privacy Analyst Evaluation'!$A$46:$K$120,8,0)&amp;""</f>
        <v/>
      </c>
      <c r="I300" s="4" t="str">
        <f>VLOOKUP($A300,'Privacy Analyst Evaluation'!$A$46:$K$120,9,0)&amp;""</f>
        <v>Minor Importance</v>
      </c>
      <c r="J300" s="4" t="str">
        <f>VLOOKUP($A300,'Privacy Analyst Evaluation'!$A$46:$K$120,10,0)&amp;""</f>
        <v/>
      </c>
      <c r="K300" s="4">
        <f>IF($I300='Auto Responses'!$J$11,20,IF($I300='Auto Responses'!$J$13,5,10))</f>
        <v>5</v>
      </c>
      <c r="L300" s="107">
        <f>IF($E300='Auto Responses'!$L$13, 'Auto Responses'!$J$5,IF(AND($D300='Auto Responses'!$J$27,$H300=""),'Auto Responses'!$J$5,IF(AND($D300='Auto Responses'!$J$27,$H300='Auto Responses'!$J$7),1,IF(AND($D300='Auto Responses'!$J$27,$H300='Auto Responses'!$J$8),0,IF(OR(AND($F300=$G300,$H300=""),$H300='Auto Responses'!$J$7),1,0)))))</f>
        <v>0</v>
      </c>
      <c r="M300" s="4" t="str">
        <f>VLOOKUP($A300,'Privacy Analyst Evaluation'!$A$46:$K$120,11,0)&amp;""</f>
        <v>FALSE</v>
      </c>
      <c r="N300" s="4">
        <f>IF($J300='Auto Responses'!$J$11,1,IF(AND($J300="",$I300='Auto Responses'!$J$11),1,0))</f>
        <v>0</v>
      </c>
      <c r="O300" s="107">
        <f>IF(OR($E300='Auto Responses'!$L$13,$F300='Auto Responses'!$J$5,$F$24='Auto Responses'!$J$4),'Auto Responses'!$J$5,IF($J300="",$K300,IF($J300='Auto Responses'!$J$13,5,IF($J300='Auto Responses'!$J$12,10,IF($J300='Auto Responses'!$J$11,20,0)))))</f>
        <v>5</v>
      </c>
      <c r="P300" s="107">
        <f>IF(OR($O300='Auto Responses'!$J$5,$L300='Auto Responses'!$J$5),'Auto Responses'!$J$5,$O300*$L300)</f>
        <v>0</v>
      </c>
      <c r="Q300" s="107">
        <f t="shared" si="32"/>
        <v>0</v>
      </c>
      <c r="R300" s="107">
        <f t="shared" si="37"/>
        <v>0</v>
      </c>
      <c r="S300" s="107">
        <f t="shared" si="33"/>
        <v>0</v>
      </c>
      <c r="T300" s="107">
        <f t="shared" si="34"/>
        <v>0</v>
      </c>
      <c r="U300" s="107">
        <f t="shared" si="38"/>
        <v>71</v>
      </c>
      <c r="V300" s="107">
        <f t="shared" si="35"/>
        <v>0</v>
      </c>
    </row>
    <row r="301" spans="1:22" ht="57" x14ac:dyDescent="0.2">
      <c r="A301" s="4" t="str">
        <f>Questions!$A301</f>
        <v>DPAI-07</v>
      </c>
      <c r="B301" s="4" t="str">
        <f t="shared" si="36"/>
        <v>DPAI</v>
      </c>
      <c r="C301" s="4" t="str">
        <f>VLOOKUP($A301,Questions!$A$3:$L$333,2,0)&amp;""</f>
        <v>Do you have safeguards in place to protect institutional data and data privacy from unintended AI queries or processing?</v>
      </c>
      <c r="D301" s="4" t="str">
        <f>VLOOKUP($A301,Questions!$A$3:$L$333,11,0)&amp;""</f>
        <v/>
      </c>
      <c r="E301" s="4" t="str">
        <f>VLOOKUP($A301,Questions!$A$3:$L$333,12,0)&amp;""</f>
        <v>Privacy</v>
      </c>
      <c r="F301" s="4" t="str">
        <f>VLOOKUP($A301,'Privacy Analyst Evaluation'!$A$46:$K$120,3,0)&amp;""</f>
        <v/>
      </c>
      <c r="G301" s="4" t="str">
        <f>VLOOKUP($A301,'Privacy Analyst Evaluation'!$A$46:$K$120,7,0)&amp;""</f>
        <v>Yes</v>
      </c>
      <c r="H301" s="4" t="str">
        <f>VLOOKUP($A301,'Privacy Analyst Evaluation'!$A$46:$K$120,8,0)&amp;""</f>
        <v/>
      </c>
      <c r="I301" s="4" t="str">
        <f>VLOOKUP($A301,'Privacy Analyst Evaluation'!$A$46:$K$120,9,0)&amp;""</f>
        <v>Minor Importance</v>
      </c>
      <c r="J301" s="4" t="str">
        <f>VLOOKUP($A301,'Privacy Analyst Evaluation'!$A$46:$K$120,10,0)&amp;""</f>
        <v/>
      </c>
      <c r="K301" s="4">
        <f>IF($I301='Auto Responses'!$J$11,20,IF($I301='Auto Responses'!$J$13,5,10))</f>
        <v>5</v>
      </c>
      <c r="L301" s="107">
        <f>IF($E301='Auto Responses'!$L$13, 'Auto Responses'!$J$5,IF(AND($D301='Auto Responses'!$J$27,$H301=""),'Auto Responses'!$J$5,IF(AND($D301='Auto Responses'!$J$27,$H301='Auto Responses'!$J$7),1,IF(AND($D301='Auto Responses'!$J$27,$H301='Auto Responses'!$J$8),0,IF(OR(AND($F301=$G301,$H301=""),$H301='Auto Responses'!$J$7),1,0)))))</f>
        <v>0</v>
      </c>
      <c r="M301" s="4" t="str">
        <f>VLOOKUP($A301,'Privacy Analyst Evaluation'!$A$46:$K$120,11,0)&amp;""</f>
        <v>FALSE</v>
      </c>
      <c r="N301" s="4">
        <f>IF($J301='Auto Responses'!$J$11,1,IF(AND($J301="",$I301='Auto Responses'!$J$11),1,0))</f>
        <v>0</v>
      </c>
      <c r="O301" s="107">
        <f>IF(OR($E301='Auto Responses'!$L$13,$F301='Auto Responses'!$J$5,$F$24='Auto Responses'!$J$4),'Auto Responses'!$J$5,IF($J301="",$K301,IF($J301='Auto Responses'!$J$13,5,IF($J301='Auto Responses'!$J$12,10,IF($J301='Auto Responses'!$J$11,20,0)))))</f>
        <v>5</v>
      </c>
      <c r="P301" s="107">
        <f>IF(OR($O301='Auto Responses'!$J$5,$L301='Auto Responses'!$J$5),'Auto Responses'!$J$5,$O301*$L301)</f>
        <v>0</v>
      </c>
      <c r="Q301" s="107">
        <f t="shared" si="32"/>
        <v>0</v>
      </c>
      <c r="R301" s="107">
        <f t="shared" si="37"/>
        <v>0</v>
      </c>
      <c r="S301" s="107">
        <f t="shared" si="33"/>
        <v>0</v>
      </c>
      <c r="T301" s="107">
        <f t="shared" si="34"/>
        <v>0</v>
      </c>
      <c r="U301" s="107">
        <f t="shared" si="38"/>
        <v>71</v>
      </c>
      <c r="V301" s="107">
        <f t="shared" si="35"/>
        <v>0</v>
      </c>
    </row>
    <row r="302" spans="1:22" ht="57" x14ac:dyDescent="0.2">
      <c r="A302" s="4" t="str">
        <f>Questions!$A302</f>
        <v>DPAI-08</v>
      </c>
      <c r="B302" s="4" t="str">
        <f t="shared" si="36"/>
        <v>DPAI</v>
      </c>
      <c r="C302" s="4" t="str">
        <f>VLOOKUP($A302,Questions!$A$3:$L$333,2,0)&amp;""</f>
        <v>Do you provide choice to the user to opt out of AI use?</v>
      </c>
      <c r="D302" s="4" t="str">
        <f>VLOOKUP($A302,Questions!$A$3:$L$333,11,0)&amp;""</f>
        <v/>
      </c>
      <c r="E302" s="4" t="str">
        <f>VLOOKUP($A302,Questions!$A$3:$L$333,12,0)&amp;""</f>
        <v>Privacy</v>
      </c>
      <c r="F302" s="4" t="str">
        <f>VLOOKUP($A302,'Privacy Analyst Evaluation'!$A$46:$K$120,3,0)&amp;""</f>
        <v/>
      </c>
      <c r="G302" s="4" t="str">
        <f>VLOOKUP($A302,'Privacy Analyst Evaluation'!$A$46:$K$120,7,0)&amp;""</f>
        <v>Yes</v>
      </c>
      <c r="H302" s="4" t="str">
        <f>VLOOKUP($A302,'Privacy Analyst Evaluation'!$A$46:$K$120,8,0)&amp;""</f>
        <v/>
      </c>
      <c r="I302" s="4" t="str">
        <f>VLOOKUP($A302,'Privacy Analyst Evaluation'!$A$46:$K$120,9,0)&amp;""</f>
        <v>Minor Importance</v>
      </c>
      <c r="J302" s="4" t="str">
        <f>VLOOKUP($A302,'Privacy Analyst Evaluation'!$A$46:$K$120,10,0)&amp;""</f>
        <v/>
      </c>
      <c r="K302" s="4">
        <f>IF($I302='Auto Responses'!$J$11,20,IF($I302='Auto Responses'!$J$13,5,10))</f>
        <v>5</v>
      </c>
      <c r="L302" s="107">
        <f>IF($E302='Auto Responses'!$L$13, 'Auto Responses'!$J$5,IF(AND($D302='Auto Responses'!$J$27,$H302=""),'Auto Responses'!$J$5,IF(AND($D302='Auto Responses'!$J$27,$H302='Auto Responses'!$J$7),1,IF(AND($D302='Auto Responses'!$J$27,$H302='Auto Responses'!$J$8),0,IF(OR(AND($F302=$G302,$H302=""),$H302='Auto Responses'!$J$7),1,0)))))</f>
        <v>0</v>
      </c>
      <c r="M302" s="4" t="str">
        <f>VLOOKUP($A302,'Privacy Analyst Evaluation'!$A$46:$K$120,11,0)&amp;""</f>
        <v>FALSE</v>
      </c>
      <c r="N302" s="4">
        <f>IF($J302='Auto Responses'!$J$11,1,IF(AND($J302="",$I302='Auto Responses'!$J$11),1,0))</f>
        <v>0</v>
      </c>
      <c r="O302" s="107">
        <f>IF(OR($E302='Auto Responses'!$L$13,$F302='Auto Responses'!$J$5,$F$24='Auto Responses'!$J$4),'Auto Responses'!$J$5,IF($J302="",$K302,IF($J302='Auto Responses'!$J$13,5,IF($J302='Auto Responses'!$J$12,10,IF($J302='Auto Responses'!$J$11,20,0)))))</f>
        <v>5</v>
      </c>
      <c r="P302" s="107">
        <f>IF(OR($O302='Auto Responses'!$J$5,$L302='Auto Responses'!$J$5),'Auto Responses'!$J$5,$O302*$L302)</f>
        <v>0</v>
      </c>
      <c r="Q302" s="107">
        <f t="shared" si="32"/>
        <v>0</v>
      </c>
      <c r="R302" s="107">
        <f t="shared" si="37"/>
        <v>0</v>
      </c>
      <c r="S302" s="107">
        <f t="shared" si="33"/>
        <v>0</v>
      </c>
      <c r="T302" s="107">
        <f t="shared" si="34"/>
        <v>0</v>
      </c>
      <c r="U302" s="107">
        <f t="shared" si="38"/>
        <v>71</v>
      </c>
      <c r="V302" s="107">
        <f t="shared" si="35"/>
        <v>0</v>
      </c>
    </row>
    <row r="303" spans="1:22" ht="57" x14ac:dyDescent="0.2">
      <c r="A303" s="4" t="str">
        <f>Questions!$A303</f>
        <v>AIQU-01</v>
      </c>
      <c r="B303" s="4" t="str">
        <f t="shared" si="36"/>
        <v>AIQU</v>
      </c>
      <c r="C303" s="4" t="str">
        <f>VLOOKUP($A303,Questions!$A$3:$L$333,2,0)&amp;""</f>
        <v>Does your solution leverage machine learning (ML) or do you plan to do so in the next 12 months?</v>
      </c>
      <c r="D303" s="4" t="str">
        <f>VLOOKUP($A303,Questions!$A$3:$L$333,11,0)&amp;""</f>
        <v>NA</v>
      </c>
      <c r="E303" s="4" t="str">
        <f>VLOOKUP($A303,Questions!$A$3:$L$333,12,0)&amp;""</f>
        <v>Not scored</v>
      </c>
      <c r="F303" s="4" t="str">
        <f>VLOOKUP($A303,'Institution Evaluation'!$A$56:$K$345,3,0)&amp;""</f>
        <v/>
      </c>
      <c r="G303" s="4" t="str">
        <f>VLOOKUP($A303,'Institution Evaluation'!$A$56:$K$345,7,0)&amp;""</f>
        <v>Not scored</v>
      </c>
      <c r="H303" s="4" t="str">
        <f>VLOOKUP($A303,'Institution Evaluation'!$A$56:$K$345,8,0)&amp;""</f>
        <v/>
      </c>
      <c r="I303" s="4" t="str">
        <f>VLOOKUP($A303,'Institution Evaluation'!$A$56:$K$345,9,0)&amp;""</f>
        <v/>
      </c>
      <c r="J303" s="4" t="str">
        <f>VLOOKUP($A303,'Institution Evaluation'!$A$56:$K$345,10,0)&amp;""</f>
        <v/>
      </c>
      <c r="K303" s="4">
        <f>IF($I303='Auto Responses'!$J$11,20,IF($I303='Auto Responses'!$J$13,5,10))</f>
        <v>10</v>
      </c>
      <c r="L303" s="107" t="str">
        <f>IF($E303='Auto Responses'!$L$13, 'Auto Responses'!$J$5,IF(AND($D303='Auto Responses'!$J$27,$H303=""),'Auto Responses'!$J$5,IF(AND($D303='Auto Responses'!$J$27,$H303='Auto Responses'!$J$7),1,IF(AND($D303='Auto Responses'!$J$27,$H303='Auto Responses'!$J$8),0,IF(OR(AND($F303=$G303,$H303=""),$H303='Auto Responses'!$J$7),1,0)))))</f>
        <v>N/A</v>
      </c>
      <c r="M303" s="4" t="str">
        <f>VLOOKUP($A303,'Institution Evaluation'!$A$56:$K$345,11,0)&amp;""</f>
        <v>FALSE</v>
      </c>
      <c r="N303" s="4">
        <f>IF($J303='Auto Responses'!$J$11,1,IF(AND($J303="",$I303='Auto Responses'!$J$11),1,0))</f>
        <v>0</v>
      </c>
      <c r="O303" s="107" t="str">
        <f>IF(OR($F$20='Auto Responses'!$J$4,$E303='Auto Responses'!$L$13,$F303='Auto Responses'!$J$5),'Auto Responses'!$J$5,IF($J303="",$K303,IF($J303='Auto Responses'!$J$13,5,IF($J303='Auto Responses'!$J$12,10,IF($J303='Auto Responses'!$J$11,20,0)))))</f>
        <v>N/A</v>
      </c>
      <c r="P303" s="107" t="str">
        <f>IF(OR($O303='Auto Responses'!$J$5,$L303='Auto Responses'!$J$5),'Auto Responses'!$J$5,$O303*$L303)</f>
        <v>N/A</v>
      </c>
      <c r="Q303" s="107">
        <f t="shared" si="32"/>
        <v>0</v>
      </c>
      <c r="R303" s="107">
        <f t="shared" si="37"/>
        <v>0</v>
      </c>
      <c r="S303" s="107">
        <f t="shared" si="33"/>
        <v>0</v>
      </c>
      <c r="T303" s="107">
        <f t="shared" si="34"/>
        <v>0</v>
      </c>
      <c r="U303" s="107">
        <f t="shared" si="38"/>
        <v>71</v>
      </c>
      <c r="V303" s="107">
        <f t="shared" si="35"/>
        <v>0</v>
      </c>
    </row>
    <row r="304" spans="1:22" ht="57" x14ac:dyDescent="0.2">
      <c r="A304" s="4" t="str">
        <f>Questions!$A304</f>
        <v>AIQU-02</v>
      </c>
      <c r="B304" s="4" t="str">
        <f t="shared" si="36"/>
        <v>AIQU</v>
      </c>
      <c r="C304" s="4" t="str">
        <f>VLOOKUP($A304,Questions!$A$3:$L$333,2,0)&amp;""</f>
        <v>Does your solution leverage a large language model (LLM) or do you plan to do so in the next 12 months?</v>
      </c>
      <c r="D304" s="4" t="str">
        <f>VLOOKUP($A304,Questions!$A$3:$L$333,11,0)&amp;""</f>
        <v>NA</v>
      </c>
      <c r="E304" s="4" t="str">
        <f>VLOOKUP($A304,Questions!$A$3:$L$333,12,0)&amp;""</f>
        <v>Not scored</v>
      </c>
      <c r="F304" s="4" t="str">
        <f>VLOOKUP($A304,'Institution Evaluation'!$A$56:$K$345,3,0)&amp;""</f>
        <v/>
      </c>
      <c r="G304" s="4" t="str">
        <f>VLOOKUP($A304,'Institution Evaluation'!$A$56:$K$345,7,0)&amp;""</f>
        <v>Not scored</v>
      </c>
      <c r="H304" s="4" t="str">
        <f>VLOOKUP($A304,'Institution Evaluation'!$A$56:$K$345,8,0)&amp;""</f>
        <v/>
      </c>
      <c r="I304" s="4" t="str">
        <f>VLOOKUP($A304,'Institution Evaluation'!$A$56:$K$345,9,0)&amp;""</f>
        <v/>
      </c>
      <c r="J304" s="4" t="str">
        <f>VLOOKUP($A304,'Institution Evaluation'!$A$56:$K$345,10,0)&amp;""</f>
        <v/>
      </c>
      <c r="K304" s="4">
        <f>IF($I304='Auto Responses'!$J$11,20,IF($I304='Auto Responses'!$J$13,5,10))</f>
        <v>10</v>
      </c>
      <c r="L304" s="107" t="str">
        <f>IF($E304='Auto Responses'!$L$13, 'Auto Responses'!$J$5,IF(AND($D304='Auto Responses'!$J$27,$H304=""),'Auto Responses'!$J$5,IF(AND($D304='Auto Responses'!$J$27,$H304='Auto Responses'!$J$7),1,IF(AND($D304='Auto Responses'!$J$27,$H304='Auto Responses'!$J$8),0,IF(OR(AND($F304=$G304,$H304=""),$H304='Auto Responses'!$J$7),1,0)))))</f>
        <v>N/A</v>
      </c>
      <c r="M304" s="4" t="str">
        <f>VLOOKUP($A304,'Institution Evaluation'!$A$56:$K$345,11,0)&amp;""</f>
        <v>FALSE</v>
      </c>
      <c r="N304" s="4">
        <f>IF($J304='Auto Responses'!$J$11,1,IF(AND($J304="",$I304='Auto Responses'!$J$11),1,0))</f>
        <v>0</v>
      </c>
      <c r="O304" s="107" t="str">
        <f>IF(OR($F$20='Auto Responses'!$J$4,$E304='Auto Responses'!$L$13,$F304='Auto Responses'!$J$5),'Auto Responses'!$J$5,IF($J304="",$K304,IF($J304='Auto Responses'!$J$13,5,IF($J304='Auto Responses'!$J$12,10,IF($J304='Auto Responses'!$J$11,20,0)))))</f>
        <v>N/A</v>
      </c>
      <c r="P304" s="107" t="str">
        <f>IF(OR($O304='Auto Responses'!$J$5,$L304='Auto Responses'!$J$5),'Auto Responses'!$J$5,$O304*$L304)</f>
        <v>N/A</v>
      </c>
      <c r="Q304" s="107">
        <f t="shared" si="32"/>
        <v>0</v>
      </c>
      <c r="R304" s="107">
        <f t="shared" si="37"/>
        <v>0</v>
      </c>
      <c r="S304" s="107">
        <f t="shared" si="33"/>
        <v>0</v>
      </c>
      <c r="T304" s="107">
        <f t="shared" si="34"/>
        <v>0</v>
      </c>
      <c r="U304" s="107">
        <f t="shared" si="38"/>
        <v>71</v>
      </c>
      <c r="V304" s="107">
        <f t="shared" si="35"/>
        <v>0</v>
      </c>
    </row>
    <row r="305" spans="1:22" ht="57" x14ac:dyDescent="0.2">
      <c r="A305" s="4" t="str">
        <f>Questions!$A305</f>
        <v>AIGN-01</v>
      </c>
      <c r="B305" s="4" t="str">
        <f t="shared" si="36"/>
        <v>AIGN</v>
      </c>
      <c r="C305" s="4" t="str">
        <f>VLOOKUP($A305,Questions!$A$3:$L$333,2,0)&amp;""</f>
        <v>Does your solution have an AI risk model when developing or implementing your solution's AI model?*</v>
      </c>
      <c r="D305" s="4" t="str">
        <f>VLOOKUP($A305,Questions!$A$3:$L$333,11,0)&amp;""</f>
        <v/>
      </c>
      <c r="E305" s="4" t="str">
        <f>VLOOKUP($A305,Questions!$A$3:$L$333,12,0)&amp;""</f>
        <v>AI</v>
      </c>
      <c r="F305" s="4" t="str">
        <f>VLOOKUP($A305,'Institution Evaluation'!$A$56:$K$345,3,0)&amp;""</f>
        <v/>
      </c>
      <c r="G305" s="4" t="str">
        <f>VLOOKUP($A305,'Institution Evaluation'!$A$56:$K$345,7,0)&amp;""</f>
        <v>Yes</v>
      </c>
      <c r="H305" s="4" t="str">
        <f>VLOOKUP($A305,'Institution Evaluation'!$A$56:$K$345,8,0)&amp;""</f>
        <v/>
      </c>
      <c r="I305" s="4" t="str">
        <f>VLOOKUP($A305,'Institution Evaluation'!$A$56:$K$345,9,0)&amp;""</f>
        <v>Critical Importance</v>
      </c>
      <c r="J305" s="4" t="str">
        <f>VLOOKUP($A305,'Institution Evaluation'!$A$56:$K$345,10,0)&amp;""</f>
        <v/>
      </c>
      <c r="K305" s="4">
        <f>IF($I305='Auto Responses'!$J$11,20,IF($I305='Auto Responses'!$J$13,5,10))</f>
        <v>20</v>
      </c>
      <c r="L305" s="107">
        <f>IF($E305='Auto Responses'!$L$13, 'Auto Responses'!$J$5,IF(AND($D305='Auto Responses'!$J$27,$H305=""),'Auto Responses'!$J$5,IF(AND($D305='Auto Responses'!$J$27,$H305='Auto Responses'!$J$7),1,IF(AND($D305='Auto Responses'!$J$27,$H305='Auto Responses'!$J$8),0,IF(OR(AND($F305=$G305,$H305=""),$H305='Auto Responses'!$J$7),1,0)))))</f>
        <v>0</v>
      </c>
      <c r="M305" s="4" t="str">
        <f>VLOOKUP($A305,'Institution Evaluation'!$A$56:$K$345,11,0)&amp;""</f>
        <v>FALSE</v>
      </c>
      <c r="N305" s="4">
        <f>IF($J305='Auto Responses'!$J$11,1,IF(AND($J305="",$I305='Auto Responses'!$J$11),1,0))</f>
        <v>1</v>
      </c>
      <c r="O305" s="107">
        <f>IF(OR($F$20='Auto Responses'!$J$4,$E305='Auto Responses'!$L$13,$F305='Auto Responses'!$J$5),'Auto Responses'!$J$5,IF($J305="",$K305,IF($J305='Auto Responses'!$J$13,5,IF($J305='Auto Responses'!$J$12,10,IF($J305='Auto Responses'!$J$11,20,0)))))</f>
        <v>20</v>
      </c>
      <c r="P305" s="107">
        <f>IF(OR($O305='Auto Responses'!$J$5,$L305='Auto Responses'!$J$5),'Auto Responses'!$J$5,$O305*$L305)</f>
        <v>0</v>
      </c>
      <c r="Q305" s="107">
        <f t="shared" si="32"/>
        <v>0</v>
      </c>
      <c r="R305" s="107">
        <f t="shared" si="37"/>
        <v>0</v>
      </c>
      <c r="S305" s="107">
        <f t="shared" si="33"/>
        <v>0</v>
      </c>
      <c r="T305" s="107">
        <f t="shared" si="34"/>
        <v>1</v>
      </c>
      <c r="U305" s="107">
        <f t="shared" si="38"/>
        <v>72</v>
      </c>
      <c r="V305" s="107">
        <f t="shared" si="35"/>
        <v>72</v>
      </c>
    </row>
    <row r="306" spans="1:22" ht="57" x14ac:dyDescent="0.2">
      <c r="A306" s="4" t="str">
        <f>Questions!$A306</f>
        <v>AIGN-02</v>
      </c>
      <c r="B306" s="4" t="str">
        <f t="shared" si="36"/>
        <v>AIGN</v>
      </c>
      <c r="C306" s="4" t="str">
        <f>VLOOKUP($A306,Questions!$A$3:$L$333,2,0)&amp;""</f>
        <v>Can your solution's AI features be disabled by tenant and/or user?*</v>
      </c>
      <c r="D306" s="4" t="str">
        <f>VLOOKUP($A306,Questions!$A$3:$L$333,11,0)&amp;""</f>
        <v/>
      </c>
      <c r="E306" s="4" t="str">
        <f>VLOOKUP($A306,Questions!$A$3:$L$333,12,0)&amp;""</f>
        <v>AI</v>
      </c>
      <c r="F306" s="4" t="str">
        <f>VLOOKUP($A306,'Institution Evaluation'!$A$56:$K$345,3,0)&amp;""</f>
        <v/>
      </c>
      <c r="G306" s="4" t="str">
        <f>VLOOKUP($A306,'Institution Evaluation'!$A$56:$K$345,7,0)&amp;""</f>
        <v>Yes</v>
      </c>
      <c r="H306" s="4" t="str">
        <f>VLOOKUP($A306,'Institution Evaluation'!$A$56:$K$345,8,0)&amp;""</f>
        <v/>
      </c>
      <c r="I306" s="4" t="str">
        <f>VLOOKUP($A306,'Institution Evaluation'!$A$56:$K$345,9,0)&amp;""</f>
        <v>Critical Importance</v>
      </c>
      <c r="J306" s="4" t="str">
        <f>VLOOKUP($A306,'Institution Evaluation'!$A$56:$K$345,10,0)&amp;""</f>
        <v/>
      </c>
      <c r="K306" s="4">
        <f>IF($I306='Auto Responses'!$J$11,20,IF($I306='Auto Responses'!$J$13,5,10))</f>
        <v>20</v>
      </c>
      <c r="L306" s="107">
        <f>IF($E306='Auto Responses'!$L$13, 'Auto Responses'!$J$5,IF(AND($D306='Auto Responses'!$J$27,$H306=""),'Auto Responses'!$J$5,IF(AND($D306='Auto Responses'!$J$27,$H306='Auto Responses'!$J$7),1,IF(AND($D306='Auto Responses'!$J$27,$H306='Auto Responses'!$J$8),0,IF(OR(AND($F306=$G306,$H306=""),$H306='Auto Responses'!$J$7),1,0)))))</f>
        <v>0</v>
      </c>
      <c r="M306" s="4" t="str">
        <f>VLOOKUP($A306,'Institution Evaluation'!$A$56:$K$345,11,0)&amp;""</f>
        <v>FALSE</v>
      </c>
      <c r="N306" s="4">
        <f>IF($J306='Auto Responses'!$J$11,1,IF(AND($J306="",$I306='Auto Responses'!$J$11),1,0))</f>
        <v>1</v>
      </c>
      <c r="O306" s="107">
        <f>IF(OR($F$20='Auto Responses'!$J$4,$E306='Auto Responses'!$L$13,$F306='Auto Responses'!$J$5),'Auto Responses'!$J$5,IF($J306="",$K306,IF($J306='Auto Responses'!$J$13,5,IF($J306='Auto Responses'!$J$12,10,IF($J306='Auto Responses'!$J$11,20,0)))))</f>
        <v>20</v>
      </c>
      <c r="P306" s="107">
        <f>IF(OR($O306='Auto Responses'!$J$5,$L306='Auto Responses'!$J$5),'Auto Responses'!$J$5,$O306*$L306)</f>
        <v>0</v>
      </c>
      <c r="Q306" s="107">
        <f t="shared" si="32"/>
        <v>0</v>
      </c>
      <c r="R306" s="107">
        <f t="shared" si="37"/>
        <v>0</v>
      </c>
      <c r="S306" s="107">
        <f t="shared" si="33"/>
        <v>0</v>
      </c>
      <c r="T306" s="107">
        <f t="shared" si="34"/>
        <v>1</v>
      </c>
      <c r="U306" s="107">
        <f t="shared" si="38"/>
        <v>73</v>
      </c>
      <c r="V306" s="107">
        <f t="shared" si="35"/>
        <v>73</v>
      </c>
    </row>
    <row r="307" spans="1:22" ht="57" x14ac:dyDescent="0.2">
      <c r="A307" s="4" t="str">
        <f>Questions!$A307</f>
        <v>AIGN-03</v>
      </c>
      <c r="B307" s="4" t="str">
        <f t="shared" si="36"/>
        <v>AIGN</v>
      </c>
      <c r="C307" s="4" t="str">
        <f>VLOOKUP($A307,Questions!$A$3:$L$333,2,0)&amp;""</f>
        <v>Have your staff completed responsible AI training?*</v>
      </c>
      <c r="D307" s="4" t="str">
        <f>VLOOKUP($A307,Questions!$A$3:$L$333,11,0)&amp;""</f>
        <v/>
      </c>
      <c r="E307" s="4" t="str">
        <f>VLOOKUP($A307,Questions!$A$3:$L$333,12,0)&amp;""</f>
        <v>AI</v>
      </c>
      <c r="F307" s="4" t="str">
        <f>VLOOKUP($A307,'Institution Evaluation'!$A$56:$K$345,3,0)&amp;""</f>
        <v/>
      </c>
      <c r="G307" s="4" t="str">
        <f>VLOOKUP($A307,'Institution Evaluation'!$A$56:$K$345,7,0)&amp;""</f>
        <v>Yes</v>
      </c>
      <c r="H307" s="4" t="str">
        <f>VLOOKUP($A307,'Institution Evaluation'!$A$56:$K$345,8,0)&amp;""</f>
        <v/>
      </c>
      <c r="I307" s="4" t="str">
        <f>VLOOKUP($A307,'Institution Evaluation'!$A$56:$K$345,9,0)&amp;""</f>
        <v>Critical Importance</v>
      </c>
      <c r="J307" s="4" t="str">
        <f>VLOOKUP($A307,'Institution Evaluation'!$A$56:$K$345,10,0)&amp;""</f>
        <v/>
      </c>
      <c r="K307" s="4">
        <f>IF($I307='Auto Responses'!$J$11,20,IF($I307='Auto Responses'!$J$13,5,10))</f>
        <v>20</v>
      </c>
      <c r="L307" s="107">
        <f>IF($E307='Auto Responses'!$L$13, 'Auto Responses'!$J$5,IF(AND($D307='Auto Responses'!$J$27,$H307=""),'Auto Responses'!$J$5,IF(AND($D307='Auto Responses'!$J$27,$H307='Auto Responses'!$J$7),1,IF(AND($D307='Auto Responses'!$J$27,$H307='Auto Responses'!$J$8),0,IF(OR(AND($F307=$G307,$H307=""),$H307='Auto Responses'!$J$7),1,0)))))</f>
        <v>0</v>
      </c>
      <c r="M307" s="4" t="str">
        <f>VLOOKUP($A307,'Institution Evaluation'!$A$56:$K$345,11,0)&amp;""</f>
        <v>FALSE</v>
      </c>
      <c r="N307" s="4">
        <f>IF($J307='Auto Responses'!$J$11,1,IF(AND($J307="",$I307='Auto Responses'!$J$11),1,0))</f>
        <v>1</v>
      </c>
      <c r="O307" s="107">
        <f>IF(OR($F$20='Auto Responses'!$J$4,$E307='Auto Responses'!$L$13,$F307='Auto Responses'!$J$5),'Auto Responses'!$J$5,IF($J307="",$K307,IF($J307='Auto Responses'!$J$13,5,IF($J307='Auto Responses'!$J$12,10,IF($J307='Auto Responses'!$J$11,20,0)))))</f>
        <v>20</v>
      </c>
      <c r="P307" s="107">
        <f>IF(OR($O307='Auto Responses'!$J$5,$L307='Auto Responses'!$J$5),'Auto Responses'!$J$5,$O307*$L307)</f>
        <v>0</v>
      </c>
      <c r="Q307" s="107">
        <f t="shared" si="32"/>
        <v>0</v>
      </c>
      <c r="R307" s="107">
        <f t="shared" si="37"/>
        <v>0</v>
      </c>
      <c r="S307" s="107">
        <f t="shared" si="33"/>
        <v>0</v>
      </c>
      <c r="T307" s="107">
        <f t="shared" si="34"/>
        <v>1</v>
      </c>
      <c r="U307" s="107">
        <f t="shared" si="38"/>
        <v>74</v>
      </c>
      <c r="V307" s="107">
        <f t="shared" si="35"/>
        <v>74</v>
      </c>
    </row>
    <row r="308" spans="1:22" ht="57" x14ac:dyDescent="0.2">
      <c r="A308" s="4" t="str">
        <f>Questions!$A308</f>
        <v>AIGN-04</v>
      </c>
      <c r="B308" s="4" t="str">
        <f t="shared" si="36"/>
        <v>AIGN</v>
      </c>
      <c r="C308" s="4" t="str">
        <f>VLOOKUP($A308,Questions!$A$3:$L$333,2,0)&amp;""</f>
        <v>Please describe the capabilities of your solution's AI features.</v>
      </c>
      <c r="D308" s="4" t="str">
        <f>VLOOKUP($A308,Questions!$A$3:$L$333,11,0)&amp;""</f>
        <v/>
      </c>
      <c r="E308" s="4" t="str">
        <f>VLOOKUP($A308,Questions!$A$3:$L$333,12,0)&amp;""</f>
        <v>Not scored</v>
      </c>
      <c r="F308" s="4" t="str">
        <f>VLOOKUP($A308,'Institution Evaluation'!$A$56:$K$345,3,0)&amp;""</f>
        <v/>
      </c>
      <c r="G308" s="4" t="str">
        <f>VLOOKUP($A308,'Institution Evaluation'!$A$56:$K$345,7,0)&amp;""</f>
        <v>Not scored</v>
      </c>
      <c r="H308" s="4" t="str">
        <f>VLOOKUP($A308,'Institution Evaluation'!$A$56:$K$345,8,0)&amp;""</f>
        <v/>
      </c>
      <c r="I308" s="4" t="str">
        <f>VLOOKUP($A308,'Institution Evaluation'!$A$56:$K$345,9,0)&amp;""</f>
        <v/>
      </c>
      <c r="J308" s="4" t="str">
        <f>VLOOKUP($A308,'Institution Evaluation'!$A$56:$K$345,10,0)&amp;""</f>
        <v/>
      </c>
      <c r="K308" s="4">
        <f>IF($I308='Auto Responses'!$J$11,20,IF($I308='Auto Responses'!$J$13,5,10))</f>
        <v>10</v>
      </c>
      <c r="L308" s="107" t="str">
        <f>IF($E308='Auto Responses'!$L$13, 'Auto Responses'!$J$5,IF(AND($D308='Auto Responses'!$J$27,$H308=""),'Auto Responses'!$J$5,IF(AND($D308='Auto Responses'!$J$27,$H308='Auto Responses'!$J$7),1,IF(AND($D308='Auto Responses'!$J$27,$H308='Auto Responses'!$J$8),0,IF(OR(AND($F308=$G308,$H308=""),$H308='Auto Responses'!$J$7),1,0)))))</f>
        <v>N/A</v>
      </c>
      <c r="M308" s="4" t="str">
        <f>VLOOKUP($A308,'Institution Evaluation'!$A$56:$K$345,11,0)&amp;""</f>
        <v>FALSE</v>
      </c>
      <c r="N308" s="4">
        <f>IF($J308='Auto Responses'!$J$11,1,IF(AND($J308="",$I308='Auto Responses'!$J$11),1,0))</f>
        <v>0</v>
      </c>
      <c r="O308" s="107" t="str">
        <f>IF(OR($F$20='Auto Responses'!$J$4,$E308='Auto Responses'!$L$13,$F308='Auto Responses'!$J$5),'Auto Responses'!$J$5,IF($J308="",$K308,IF($J308='Auto Responses'!$J$13,5,IF($J308='Auto Responses'!$J$12,10,IF($J308='Auto Responses'!$J$11,20,0)))))</f>
        <v>N/A</v>
      </c>
      <c r="P308" s="107" t="str">
        <f>IF(OR($O308='Auto Responses'!$J$5,$L308='Auto Responses'!$J$5),'Auto Responses'!$J$5,$O308*$L308)</f>
        <v>N/A</v>
      </c>
      <c r="Q308" s="107">
        <f t="shared" si="32"/>
        <v>0</v>
      </c>
      <c r="R308" s="107">
        <f t="shared" si="37"/>
        <v>0</v>
      </c>
      <c r="S308" s="107">
        <f t="shared" si="33"/>
        <v>0</v>
      </c>
      <c r="T308" s="107">
        <f t="shared" si="34"/>
        <v>0</v>
      </c>
      <c r="U308" s="107">
        <f t="shared" si="38"/>
        <v>74</v>
      </c>
      <c r="V308" s="107">
        <f t="shared" si="35"/>
        <v>0</v>
      </c>
    </row>
    <row r="309" spans="1:22" ht="57" x14ac:dyDescent="0.2">
      <c r="A309" s="4" t="str">
        <f>Questions!$A309</f>
        <v>AIGN-05</v>
      </c>
      <c r="B309" s="4" t="str">
        <f t="shared" si="36"/>
        <v>AIGN</v>
      </c>
      <c r="C309" s="4" t="str">
        <f>VLOOKUP($A309,Questions!$A$3:$L$333,2,0)&amp;""</f>
        <v>Does your solution support business rules to protect sensitive data from being ingested by the AI model?</v>
      </c>
      <c r="D309" s="4" t="str">
        <f>VLOOKUP($A309,Questions!$A$3:$L$333,11,0)&amp;""</f>
        <v/>
      </c>
      <c r="E309" s="4" t="str">
        <f>VLOOKUP($A309,Questions!$A$3:$L$333,12,0)&amp;""</f>
        <v>AI</v>
      </c>
      <c r="F309" s="4" t="str">
        <f>VLOOKUP($A309,'Institution Evaluation'!$A$56:$K$345,3,0)&amp;""</f>
        <v/>
      </c>
      <c r="G309" s="4" t="str">
        <f>VLOOKUP($A309,'Institution Evaluation'!$A$56:$K$345,7,0)&amp;""</f>
        <v>Yes</v>
      </c>
      <c r="H309" s="4" t="str">
        <f>VLOOKUP($A309,'Institution Evaluation'!$A$56:$K$345,8,0)&amp;""</f>
        <v/>
      </c>
      <c r="I309" s="4" t="str">
        <f>VLOOKUP($A309,'Institution Evaluation'!$A$56:$K$345,9,0)&amp;""</f>
        <v>Standard Importance</v>
      </c>
      <c r="J309" s="4" t="str">
        <f>VLOOKUP($A309,'Institution Evaluation'!$A$56:$K$345,10,0)&amp;""</f>
        <v/>
      </c>
      <c r="K309" s="4">
        <f>IF($I309='Auto Responses'!$J$11,20,IF($I309='Auto Responses'!$J$13,5,10))</f>
        <v>10</v>
      </c>
      <c r="L309" s="107">
        <f>IF($E309='Auto Responses'!$L$13, 'Auto Responses'!$J$5,IF(AND($D309='Auto Responses'!$J$27,$H309=""),'Auto Responses'!$J$5,IF(AND($D309='Auto Responses'!$J$27,$H309='Auto Responses'!$J$7),1,IF(AND($D309='Auto Responses'!$J$27,$H309='Auto Responses'!$J$8),0,IF(OR(AND($F309=$G309,$H309=""),$H309='Auto Responses'!$J$7),1,0)))))</f>
        <v>0</v>
      </c>
      <c r="M309" s="4" t="str">
        <f>VLOOKUP($A309,'Institution Evaluation'!$A$56:$K$345,11,0)&amp;""</f>
        <v>FALSE</v>
      </c>
      <c r="N309" s="4">
        <f>IF($J309='Auto Responses'!$J$11,1,IF(AND($J309="",$I309='Auto Responses'!$J$11),1,0))</f>
        <v>0</v>
      </c>
      <c r="O309" s="107">
        <f>IF(OR($F$20='Auto Responses'!$J$4,$E309='Auto Responses'!$L$13,$F309='Auto Responses'!$J$5),'Auto Responses'!$J$5,IF($J309="",$K309,IF($J309='Auto Responses'!$J$13,5,IF($J309='Auto Responses'!$J$12,10,IF($J309='Auto Responses'!$J$11,20,0)))))</f>
        <v>10</v>
      </c>
      <c r="P309" s="107">
        <f>IF(OR($O309='Auto Responses'!$J$5,$L309='Auto Responses'!$J$5),'Auto Responses'!$J$5,$O309*$L309)</f>
        <v>0</v>
      </c>
      <c r="Q309" s="107">
        <f t="shared" si="32"/>
        <v>0</v>
      </c>
      <c r="R309" s="107">
        <f t="shared" si="37"/>
        <v>0</v>
      </c>
      <c r="S309" s="107">
        <f t="shared" si="33"/>
        <v>0</v>
      </c>
      <c r="T309" s="107">
        <f t="shared" si="34"/>
        <v>0</v>
      </c>
      <c r="U309" s="107">
        <f t="shared" si="38"/>
        <v>74</v>
      </c>
      <c r="V309" s="107">
        <f t="shared" si="35"/>
        <v>0</v>
      </c>
    </row>
    <row r="310" spans="1:22" ht="71.25" x14ac:dyDescent="0.2">
      <c r="A310" s="4" t="str">
        <f>Questions!$A310</f>
        <v>AIPL-01</v>
      </c>
      <c r="B310" s="4" t="str">
        <f t="shared" si="36"/>
        <v>AIPL</v>
      </c>
      <c r="C310" s="4" t="str">
        <f>VLOOKUP($A310,Questions!$A$3:$L$333,2,0)&amp;""</f>
        <v>Are your AI developer's policies, processes, procedures, and practices across the organization related to the mapping, measuring, and managing of AI risks conspicuously posted, unambiguous, and implemented effectively?*</v>
      </c>
      <c r="D310" s="4" t="str">
        <f>VLOOKUP($A310,Questions!$A$3:$L$333,11,0)&amp;""</f>
        <v/>
      </c>
      <c r="E310" s="4" t="str">
        <f>VLOOKUP($A310,Questions!$A$3:$L$333,12,0)&amp;""</f>
        <v>AI</v>
      </c>
      <c r="F310" s="4" t="str">
        <f>VLOOKUP($A310,'Institution Evaluation'!$A$56:$K$345,3,0)&amp;""</f>
        <v/>
      </c>
      <c r="G310" s="4" t="str">
        <f>VLOOKUP($A310,'Institution Evaluation'!$A$56:$K$345,7,0)&amp;""</f>
        <v>Yes</v>
      </c>
      <c r="H310" s="4" t="str">
        <f>VLOOKUP($A310,'Institution Evaluation'!$A$56:$K$345,8,0)&amp;""</f>
        <v/>
      </c>
      <c r="I310" s="4" t="str">
        <f>VLOOKUP($A310,'Institution Evaluation'!$A$56:$K$345,9,0)&amp;""</f>
        <v>Critical Importance</v>
      </c>
      <c r="J310" s="4" t="str">
        <f>VLOOKUP($A310,'Institution Evaluation'!$A$56:$K$345,10,0)&amp;""</f>
        <v/>
      </c>
      <c r="K310" s="4">
        <f>IF($I310='Auto Responses'!$J$11,20,IF($I310='Auto Responses'!$J$13,5,10))</f>
        <v>20</v>
      </c>
      <c r="L310" s="107">
        <f>IF($E310='Auto Responses'!$L$13, 'Auto Responses'!$J$5,IF(AND($D310='Auto Responses'!$J$27,$H310=""),'Auto Responses'!$J$5,IF(AND($D310='Auto Responses'!$J$27,$H310='Auto Responses'!$J$7),1,IF(AND($D310='Auto Responses'!$J$27,$H310='Auto Responses'!$J$8),0,IF(OR(AND($F310=$G310,$H310=""),$H310='Auto Responses'!$J$7),1,0)))))</f>
        <v>0</v>
      </c>
      <c r="M310" s="4" t="str">
        <f>VLOOKUP($A310,'Institution Evaluation'!$A$56:$K$345,11,0)&amp;""</f>
        <v>FALSE</v>
      </c>
      <c r="N310" s="4">
        <f>IF($J310='Auto Responses'!$J$11,1,IF(AND($J310="",$I310='Auto Responses'!$J$11),1,0))</f>
        <v>1</v>
      </c>
      <c r="O310" s="107">
        <f>IF(OR($F$20='Auto Responses'!$J$4,$E310='Auto Responses'!$L$13,$F310='Auto Responses'!$J$5),'Auto Responses'!$J$5,IF($J310="",$K310,IF($J310='Auto Responses'!$J$13,5,IF($J310='Auto Responses'!$J$12,10,IF($J310='Auto Responses'!$J$11,20,0)))))</f>
        <v>20</v>
      </c>
      <c r="P310" s="107">
        <f>IF(OR($O310='Auto Responses'!$J$5,$L310='Auto Responses'!$J$5),'Auto Responses'!$J$5,$O310*$L310)</f>
        <v>0</v>
      </c>
      <c r="Q310" s="107">
        <f t="shared" si="32"/>
        <v>0</v>
      </c>
      <c r="R310" s="107">
        <f t="shared" si="37"/>
        <v>0</v>
      </c>
      <c r="S310" s="107">
        <f t="shared" si="33"/>
        <v>0</v>
      </c>
      <c r="T310" s="107">
        <f t="shared" si="34"/>
        <v>1</v>
      </c>
      <c r="U310" s="107">
        <f t="shared" si="38"/>
        <v>75</v>
      </c>
      <c r="V310" s="107">
        <f t="shared" si="35"/>
        <v>75</v>
      </c>
    </row>
    <row r="311" spans="1:22" ht="57" x14ac:dyDescent="0.2">
      <c r="A311" s="4" t="str">
        <f>Questions!$A311</f>
        <v>AIPL-02</v>
      </c>
      <c r="B311" s="4" t="str">
        <f t="shared" si="36"/>
        <v>AIPL</v>
      </c>
      <c r="C311" s="4" t="str">
        <f>VLOOKUP($A311,Questions!$A$3:$L$333,2,0)&amp;""</f>
        <v>Have you identified and measured AI risks?*</v>
      </c>
      <c r="D311" s="4" t="str">
        <f>VLOOKUP($A311,Questions!$A$3:$L$333,11,0)&amp;""</f>
        <v/>
      </c>
      <c r="E311" s="4" t="str">
        <f>VLOOKUP($A311,Questions!$A$3:$L$333,12,0)&amp;""</f>
        <v>AI</v>
      </c>
      <c r="F311" s="4" t="str">
        <f>VLOOKUP($A311,'Institution Evaluation'!$A$56:$K$345,3,0)&amp;""</f>
        <v/>
      </c>
      <c r="G311" s="4" t="str">
        <f>VLOOKUP($A311,'Institution Evaluation'!$A$56:$K$345,7,0)&amp;""</f>
        <v>Yes</v>
      </c>
      <c r="H311" s="4" t="str">
        <f>VLOOKUP($A311,'Institution Evaluation'!$A$56:$K$345,8,0)&amp;""</f>
        <v/>
      </c>
      <c r="I311" s="4" t="str">
        <f>VLOOKUP($A311,'Institution Evaluation'!$A$56:$K$345,9,0)&amp;""</f>
        <v>Critical Importance</v>
      </c>
      <c r="J311" s="4" t="str">
        <f>VLOOKUP($A311,'Institution Evaluation'!$A$56:$K$345,10,0)&amp;""</f>
        <v/>
      </c>
      <c r="K311" s="4">
        <f>IF($I311='Auto Responses'!$J$11,20,IF($I311='Auto Responses'!$J$13,5,10))</f>
        <v>20</v>
      </c>
      <c r="L311" s="107">
        <f>IF($E311='Auto Responses'!$L$13, 'Auto Responses'!$J$5,IF(AND($D311='Auto Responses'!$J$27,$H311=""),'Auto Responses'!$J$5,IF(AND($D311='Auto Responses'!$J$27,$H311='Auto Responses'!$J$7),1,IF(AND($D311='Auto Responses'!$J$27,$H311='Auto Responses'!$J$8),0,IF(OR(AND($F311=$G311,$H311=""),$H311='Auto Responses'!$J$7),1,0)))))</f>
        <v>0</v>
      </c>
      <c r="M311" s="4" t="str">
        <f>VLOOKUP($A311,'Institution Evaluation'!$A$56:$K$345,11,0)&amp;""</f>
        <v>FALSE</v>
      </c>
      <c r="N311" s="4">
        <f>IF($J311='Auto Responses'!$J$11,1,IF(AND($J311="",$I311='Auto Responses'!$J$11),1,0))</f>
        <v>1</v>
      </c>
      <c r="O311" s="107">
        <f>IF(OR($F$20='Auto Responses'!$J$4,$E311='Auto Responses'!$L$13,$F311='Auto Responses'!$J$5),'Auto Responses'!$J$5,IF($J311="",$K311,IF($J311='Auto Responses'!$J$13,5,IF($J311='Auto Responses'!$J$12,10,IF($J311='Auto Responses'!$J$11,20,0)))))</f>
        <v>20</v>
      </c>
      <c r="P311" s="107">
        <f>IF(OR($O311='Auto Responses'!$J$5,$L311='Auto Responses'!$J$5),'Auto Responses'!$J$5,$O311*$L311)</f>
        <v>0</v>
      </c>
      <c r="Q311" s="107">
        <f t="shared" si="32"/>
        <v>0</v>
      </c>
      <c r="R311" s="107">
        <f t="shared" si="37"/>
        <v>0</v>
      </c>
      <c r="S311" s="107">
        <f t="shared" si="33"/>
        <v>0</v>
      </c>
      <c r="T311" s="107">
        <f t="shared" si="34"/>
        <v>1</v>
      </c>
      <c r="U311" s="107">
        <f t="shared" si="38"/>
        <v>76</v>
      </c>
      <c r="V311" s="107">
        <f t="shared" si="35"/>
        <v>76</v>
      </c>
    </row>
    <row r="312" spans="1:22" ht="57" x14ac:dyDescent="0.2">
      <c r="A312" s="4" t="str">
        <f>Questions!$A312</f>
        <v>AIPL-03</v>
      </c>
      <c r="B312" s="4" t="str">
        <f t="shared" si="36"/>
        <v>AIPL</v>
      </c>
      <c r="C312" s="4" t="str">
        <f>VLOOKUP($A312,Questions!$A$3:$L$333,2,0)&amp;""</f>
        <v>In the event of an incident, can your solution's AI features be disabled in a timely manner?*</v>
      </c>
      <c r="D312" s="4" t="str">
        <f>VLOOKUP($A312,Questions!$A$3:$L$333,11,0)&amp;""</f>
        <v/>
      </c>
      <c r="E312" s="4" t="str">
        <f>VLOOKUP($A312,Questions!$A$3:$L$333,12,0)&amp;""</f>
        <v>AI</v>
      </c>
      <c r="F312" s="4" t="str">
        <f>VLOOKUP($A312,'Institution Evaluation'!$A$56:$K$345,3,0)&amp;""</f>
        <v/>
      </c>
      <c r="G312" s="4" t="str">
        <f>VLOOKUP($A312,'Institution Evaluation'!$A$56:$K$345,7,0)&amp;""</f>
        <v>Yes</v>
      </c>
      <c r="H312" s="4" t="str">
        <f>VLOOKUP($A312,'Institution Evaluation'!$A$56:$K$345,8,0)&amp;""</f>
        <v/>
      </c>
      <c r="I312" s="4" t="str">
        <f>VLOOKUP($A312,'Institution Evaluation'!$A$56:$K$345,9,0)&amp;""</f>
        <v>Critical Importance</v>
      </c>
      <c r="J312" s="4" t="str">
        <f>VLOOKUP($A312,'Institution Evaluation'!$A$56:$K$345,10,0)&amp;""</f>
        <v/>
      </c>
      <c r="K312" s="4">
        <f>IF($I312='Auto Responses'!$J$11,20,IF($I312='Auto Responses'!$J$13,5,10))</f>
        <v>20</v>
      </c>
      <c r="L312" s="107">
        <f>IF($E312='Auto Responses'!$L$13, 'Auto Responses'!$J$5,IF(AND($D312='Auto Responses'!$J$27,$H312=""),'Auto Responses'!$J$5,IF(AND($D312='Auto Responses'!$J$27,$H312='Auto Responses'!$J$7),1,IF(AND($D312='Auto Responses'!$J$27,$H312='Auto Responses'!$J$8),0,IF(OR(AND($F312=$G312,$H312=""),$H312='Auto Responses'!$J$7),1,0)))))</f>
        <v>0</v>
      </c>
      <c r="M312" s="4" t="str">
        <f>VLOOKUP($A312,'Institution Evaluation'!$A$56:$K$345,11,0)&amp;""</f>
        <v>FALSE</v>
      </c>
      <c r="N312" s="4">
        <f>IF($J312='Auto Responses'!$J$11,1,IF(AND($J312="",$I312='Auto Responses'!$J$11),1,0))</f>
        <v>1</v>
      </c>
      <c r="O312" s="107">
        <f>IF(OR($F$20='Auto Responses'!$J$4,$E312='Auto Responses'!$L$13,$F312='Auto Responses'!$J$5),'Auto Responses'!$J$5,IF($J312="",$K312,IF($J312='Auto Responses'!$J$13,5,IF($J312='Auto Responses'!$J$12,10,IF($J312='Auto Responses'!$J$11,20,0)))))</f>
        <v>20</v>
      </c>
      <c r="P312" s="107">
        <f>IF(OR($O312='Auto Responses'!$J$5,$L312='Auto Responses'!$J$5),'Auto Responses'!$J$5,$O312*$L312)</f>
        <v>0</v>
      </c>
      <c r="Q312" s="107">
        <f t="shared" si="32"/>
        <v>0</v>
      </c>
      <c r="R312" s="107">
        <f t="shared" si="37"/>
        <v>0</v>
      </c>
      <c r="S312" s="107">
        <f t="shared" si="33"/>
        <v>0</v>
      </c>
      <c r="T312" s="107">
        <f t="shared" si="34"/>
        <v>1</v>
      </c>
      <c r="U312" s="107">
        <f t="shared" si="38"/>
        <v>77</v>
      </c>
      <c r="V312" s="107">
        <f t="shared" si="35"/>
        <v>77</v>
      </c>
    </row>
    <row r="313" spans="1:22" ht="57" x14ac:dyDescent="0.2">
      <c r="A313" s="4" t="str">
        <f>Questions!$A313</f>
        <v>AIPL-04</v>
      </c>
      <c r="B313" s="4" t="str">
        <f t="shared" si="36"/>
        <v>AIPL</v>
      </c>
      <c r="C313" s="4" t="str">
        <f>VLOOKUP($A313,Questions!$A$3:$L$333,2,0)&amp;""</f>
        <v>If disabled because of an incident, can your solution's AI features be re-enabled in a timely manner?*</v>
      </c>
      <c r="D313" s="4" t="str">
        <f>VLOOKUP($A313,Questions!$A$3:$L$333,11,0)&amp;""</f>
        <v/>
      </c>
      <c r="E313" s="4" t="str">
        <f>VLOOKUP($A313,Questions!$A$3:$L$333,12,0)&amp;""</f>
        <v>AI</v>
      </c>
      <c r="F313" s="4" t="str">
        <f>VLOOKUP($A313,'Institution Evaluation'!$A$56:$K$345,3,0)&amp;""</f>
        <v/>
      </c>
      <c r="G313" s="4" t="str">
        <f>VLOOKUP($A313,'Institution Evaluation'!$A$56:$K$345,7,0)&amp;""</f>
        <v>Yes</v>
      </c>
      <c r="H313" s="4" t="str">
        <f>VLOOKUP($A313,'Institution Evaluation'!$A$56:$K$345,8,0)&amp;""</f>
        <v/>
      </c>
      <c r="I313" s="4" t="str">
        <f>VLOOKUP($A313,'Institution Evaluation'!$A$56:$K$345,9,0)&amp;""</f>
        <v>Critical Importance</v>
      </c>
      <c r="J313" s="4" t="str">
        <f>VLOOKUP($A313,'Institution Evaluation'!$A$56:$K$345,10,0)&amp;""</f>
        <v/>
      </c>
      <c r="K313" s="4">
        <f>IF($I313='Auto Responses'!$J$11,20,IF($I313='Auto Responses'!$J$13,5,10))</f>
        <v>20</v>
      </c>
      <c r="L313" s="107">
        <f>IF($E313='Auto Responses'!$L$13, 'Auto Responses'!$J$5,IF(AND($D313='Auto Responses'!$J$27,$H313=""),'Auto Responses'!$J$5,IF(AND($D313='Auto Responses'!$J$27,$H313='Auto Responses'!$J$7),1,IF(AND($D313='Auto Responses'!$J$27,$H313='Auto Responses'!$J$8),0,IF(OR(AND($F313=$G313,$H313=""),$H313='Auto Responses'!$J$7),1,0)))))</f>
        <v>0</v>
      </c>
      <c r="M313" s="4" t="str">
        <f>VLOOKUP($A313,'Institution Evaluation'!$A$56:$K$345,11,0)&amp;""</f>
        <v>FALSE</v>
      </c>
      <c r="N313" s="4">
        <f>IF($J313='Auto Responses'!$J$11,1,IF(AND($J313="",$I313='Auto Responses'!$J$11),1,0))</f>
        <v>1</v>
      </c>
      <c r="O313" s="107">
        <f>IF(OR($F$20='Auto Responses'!$J$4,$E313='Auto Responses'!$L$13,$F313='Auto Responses'!$J$5),'Auto Responses'!$J$5,IF($J313="",$K313,IF($J313='Auto Responses'!$J$13,5,IF($J313='Auto Responses'!$J$12,10,IF($J313='Auto Responses'!$J$11,20,0)))))</f>
        <v>20</v>
      </c>
      <c r="P313" s="107">
        <f>IF(OR($O313='Auto Responses'!$J$5,$L313='Auto Responses'!$J$5),'Auto Responses'!$J$5,$O313*$L313)</f>
        <v>0</v>
      </c>
      <c r="Q313" s="107">
        <f t="shared" si="32"/>
        <v>0</v>
      </c>
      <c r="R313" s="107">
        <f t="shared" si="37"/>
        <v>0</v>
      </c>
      <c r="S313" s="107">
        <f t="shared" si="33"/>
        <v>0</v>
      </c>
      <c r="T313" s="107">
        <f t="shared" si="34"/>
        <v>1</v>
      </c>
      <c r="U313" s="107">
        <f t="shared" si="38"/>
        <v>78</v>
      </c>
      <c r="V313" s="107">
        <f t="shared" si="35"/>
        <v>78</v>
      </c>
    </row>
    <row r="314" spans="1:22" ht="57" x14ac:dyDescent="0.2">
      <c r="A314" s="4" t="str">
        <f>Questions!$A314</f>
        <v>AIPL-05</v>
      </c>
      <c r="B314" s="4" t="str">
        <f t="shared" si="36"/>
        <v>AIPL</v>
      </c>
      <c r="C314" s="4" t="str">
        <f>VLOOKUP($A314,Questions!$A$3:$L$333,2,0)&amp;""</f>
        <v>Do you have documented technical and procedural processes to address potential negative impacts of AI as described by the AI Risk Management Framework (RMF)?</v>
      </c>
      <c r="D314" s="4" t="str">
        <f>VLOOKUP($A314,Questions!$A$3:$L$333,11,0)&amp;""</f>
        <v/>
      </c>
      <c r="E314" s="4" t="str">
        <f>VLOOKUP($A314,Questions!$A$3:$L$333,12,0)&amp;""</f>
        <v>AI</v>
      </c>
      <c r="F314" s="4" t="str">
        <f>VLOOKUP($A314,'Institution Evaluation'!$A$56:$K$345,3,0)&amp;""</f>
        <v/>
      </c>
      <c r="G314" s="4" t="str">
        <f>VLOOKUP($A314,'Institution Evaluation'!$A$56:$K$345,7,0)&amp;""</f>
        <v>Yes</v>
      </c>
      <c r="H314" s="4" t="str">
        <f>VLOOKUP($A314,'Institution Evaluation'!$A$56:$K$345,8,0)&amp;""</f>
        <v/>
      </c>
      <c r="I314" s="4" t="str">
        <f>VLOOKUP($A314,'Institution Evaluation'!$A$56:$K$345,9,0)&amp;""</f>
        <v>Minor Importance</v>
      </c>
      <c r="J314" s="4" t="str">
        <f>VLOOKUP($A314,'Institution Evaluation'!$A$56:$K$345,10,0)&amp;""</f>
        <v/>
      </c>
      <c r="K314" s="4">
        <f>IF($I314='Auto Responses'!$J$11,20,IF($I314='Auto Responses'!$J$13,5,10))</f>
        <v>5</v>
      </c>
      <c r="L314" s="107">
        <f>IF($E314='Auto Responses'!$L$13, 'Auto Responses'!$J$5,IF(AND($D314='Auto Responses'!$J$27,$H314=""),'Auto Responses'!$J$5,IF(AND($D314='Auto Responses'!$J$27,$H314='Auto Responses'!$J$7),1,IF(AND($D314='Auto Responses'!$J$27,$H314='Auto Responses'!$J$8),0,IF(OR(AND($F314=$G314,$H314=""),$H314='Auto Responses'!$J$7),1,0)))))</f>
        <v>0</v>
      </c>
      <c r="M314" s="4" t="str">
        <f>VLOOKUP($A314,'Institution Evaluation'!$A$56:$K$345,11,0)&amp;""</f>
        <v>FALSE</v>
      </c>
      <c r="N314" s="4">
        <f>IF($J314='Auto Responses'!$J$11,1,IF(AND($J314="",$I314='Auto Responses'!$J$11),1,0))</f>
        <v>0</v>
      </c>
      <c r="O314" s="107">
        <f>IF(OR($F$20='Auto Responses'!$J$4,$E314='Auto Responses'!$L$13,$F314='Auto Responses'!$J$5),'Auto Responses'!$J$5,IF($J314="",$K314,IF($J314='Auto Responses'!$J$13,5,IF($J314='Auto Responses'!$J$12,10,IF($J314='Auto Responses'!$J$11,20,0)))))</f>
        <v>5</v>
      </c>
      <c r="P314" s="107">
        <f>IF(OR($O314='Auto Responses'!$J$5,$L314='Auto Responses'!$J$5),'Auto Responses'!$J$5,$O314*$L314)</f>
        <v>0</v>
      </c>
      <c r="Q314" s="107">
        <f t="shared" si="32"/>
        <v>0</v>
      </c>
      <c r="R314" s="107">
        <f t="shared" si="37"/>
        <v>0</v>
      </c>
      <c r="S314" s="107">
        <f t="shared" si="33"/>
        <v>0</v>
      </c>
      <c r="T314" s="107">
        <f t="shared" si="34"/>
        <v>0</v>
      </c>
      <c r="U314" s="107">
        <f t="shared" si="38"/>
        <v>78</v>
      </c>
      <c r="V314" s="107">
        <f t="shared" si="35"/>
        <v>0</v>
      </c>
    </row>
    <row r="315" spans="1:22" ht="57" x14ac:dyDescent="0.2">
      <c r="A315" s="4" t="str">
        <f>Questions!$A315</f>
        <v>AISC-01</v>
      </c>
      <c r="B315" s="4" t="str">
        <f t="shared" si="36"/>
        <v>AISC</v>
      </c>
      <c r="C315" s="4" t="str">
        <f>VLOOKUP($A315,Questions!$A$3:$L$333,2,0)&amp;""</f>
        <v>If sensitive data is introduced to your solution's AI model, can the data be removed from the AI model by request?*</v>
      </c>
      <c r="D315" s="4" t="str">
        <f>VLOOKUP($A315,Questions!$A$3:$L$333,11,0)&amp;""</f>
        <v/>
      </c>
      <c r="E315" s="4" t="str">
        <f>VLOOKUP($A315,Questions!$A$3:$L$333,12,0)&amp;""</f>
        <v>AI</v>
      </c>
      <c r="F315" s="4" t="str">
        <f>VLOOKUP($A315,'Institution Evaluation'!$A$56:$K$345,3,0)&amp;""</f>
        <v/>
      </c>
      <c r="G315" s="4" t="str">
        <f>VLOOKUP($A315,'Institution Evaluation'!$A$56:$K$345,7,0)&amp;""</f>
        <v>Yes</v>
      </c>
      <c r="H315" s="4" t="str">
        <f>VLOOKUP($A315,'Institution Evaluation'!$A$56:$K$345,8,0)&amp;""</f>
        <v/>
      </c>
      <c r="I315" s="4" t="str">
        <f>VLOOKUP($A315,'Institution Evaluation'!$A$56:$K$345,9,0)&amp;""</f>
        <v>Critical Importance</v>
      </c>
      <c r="J315" s="4" t="str">
        <f>VLOOKUP($A315,'Institution Evaluation'!$A$56:$K$345,10,0)&amp;""</f>
        <v/>
      </c>
      <c r="K315" s="4">
        <f>IF($I315='Auto Responses'!$J$11,20,IF($I315='Auto Responses'!$J$13,5,10))</f>
        <v>20</v>
      </c>
      <c r="L315" s="107">
        <f>IF($E315='Auto Responses'!$L$13, 'Auto Responses'!$J$5,IF(AND($D315='Auto Responses'!$J$27,$H315=""),'Auto Responses'!$J$5,IF(AND($D315='Auto Responses'!$J$27,$H315='Auto Responses'!$J$7),1,IF(AND($D315='Auto Responses'!$J$27,$H315='Auto Responses'!$J$8),0,IF(OR(AND($F315=$G315,$H315=""),$H315='Auto Responses'!$J$7),1,0)))))</f>
        <v>0</v>
      </c>
      <c r="M315" s="4" t="str">
        <f>VLOOKUP($A315,'Institution Evaluation'!$A$56:$K$345,11,0)&amp;""</f>
        <v>FALSE</v>
      </c>
      <c r="N315" s="4">
        <f>IF($J315='Auto Responses'!$J$11,1,IF(AND($J315="",$I315='Auto Responses'!$J$11),1,0))</f>
        <v>1</v>
      </c>
      <c r="O315" s="107">
        <f>IF(OR($F$20='Auto Responses'!$J$4,$E315='Auto Responses'!$L$13,$F315='Auto Responses'!$J$5),'Auto Responses'!$J$5,IF($J315="",$K315,IF($J315='Auto Responses'!$J$13,5,IF($J315='Auto Responses'!$J$12,10,IF($J315='Auto Responses'!$J$11,20,0)))))</f>
        <v>20</v>
      </c>
      <c r="P315" s="107">
        <f>IF(OR($O315='Auto Responses'!$J$5,$L315='Auto Responses'!$J$5),'Auto Responses'!$J$5,$O315*$L315)</f>
        <v>0</v>
      </c>
      <c r="Q315" s="107">
        <f t="shared" si="32"/>
        <v>0</v>
      </c>
      <c r="R315" s="107">
        <f t="shared" si="37"/>
        <v>0</v>
      </c>
      <c r="S315" s="107">
        <f t="shared" si="33"/>
        <v>0</v>
      </c>
      <c r="T315" s="107">
        <f t="shared" si="34"/>
        <v>1</v>
      </c>
      <c r="U315" s="107">
        <f t="shared" si="38"/>
        <v>79</v>
      </c>
      <c r="V315" s="107">
        <f t="shared" si="35"/>
        <v>79</v>
      </c>
    </row>
    <row r="316" spans="1:22" ht="57" x14ac:dyDescent="0.2">
      <c r="A316" s="4" t="str">
        <f>Questions!$A316</f>
        <v>AISC-02</v>
      </c>
      <c r="B316" s="4" t="str">
        <f t="shared" si="36"/>
        <v>AISC</v>
      </c>
      <c r="C316" s="4" t="str">
        <f>VLOOKUP($A316,Questions!$A$3:$L$333,2,0)&amp;""</f>
        <v>Is user input data used to influence your solution's AI model?*</v>
      </c>
      <c r="D316" s="4" t="str">
        <f>VLOOKUP($A316,Questions!$A$3:$L$333,11,0)&amp;""</f>
        <v/>
      </c>
      <c r="E316" s="4" t="str">
        <f>VLOOKUP($A316,Questions!$A$3:$L$333,12,0)&amp;""</f>
        <v>AI</v>
      </c>
      <c r="F316" s="4" t="str">
        <f>VLOOKUP($A316,'Institution Evaluation'!$A$56:$K$345,3,0)&amp;""</f>
        <v/>
      </c>
      <c r="G316" s="4" t="str">
        <f>VLOOKUP($A316,'Institution Evaluation'!$A$56:$K$345,7,0)&amp;""</f>
        <v>No</v>
      </c>
      <c r="H316" s="4" t="str">
        <f>VLOOKUP($A316,'Institution Evaluation'!$A$56:$K$345,8,0)&amp;""</f>
        <v/>
      </c>
      <c r="I316" s="4" t="str">
        <f>VLOOKUP($A316,'Institution Evaluation'!$A$56:$K$345,9,0)&amp;""</f>
        <v>Critical Importance</v>
      </c>
      <c r="J316" s="4" t="str">
        <f>VLOOKUP($A316,'Institution Evaluation'!$A$56:$K$345,10,0)&amp;""</f>
        <v/>
      </c>
      <c r="K316" s="4">
        <f>IF($I316='Auto Responses'!$J$11,20,IF($I316='Auto Responses'!$J$13,5,10))</f>
        <v>20</v>
      </c>
      <c r="L316" s="107">
        <f>IF($E316='Auto Responses'!$L$13, 'Auto Responses'!$J$5,IF(AND($D316='Auto Responses'!$J$27,$H316=""),'Auto Responses'!$J$5,IF(AND($D316='Auto Responses'!$J$27,$H316='Auto Responses'!$J$7),1,IF(AND($D316='Auto Responses'!$J$27,$H316='Auto Responses'!$J$8),0,IF(OR(AND($F316=$G316,$H316=""),$H316='Auto Responses'!$J$7),1,0)))))</f>
        <v>0</v>
      </c>
      <c r="M316" s="4" t="str">
        <f>VLOOKUP($A316,'Institution Evaluation'!$A$56:$K$345,11,0)&amp;""</f>
        <v>FALSE</v>
      </c>
      <c r="N316" s="4">
        <f>IF($J316='Auto Responses'!$J$11,1,IF(AND($J316="",$I316='Auto Responses'!$J$11),1,0))</f>
        <v>1</v>
      </c>
      <c r="O316" s="107">
        <f>IF(OR($F$20='Auto Responses'!$J$4,$E316='Auto Responses'!$L$13,$F316='Auto Responses'!$J$5),'Auto Responses'!$J$5,IF($J316="",$K316,IF($J316='Auto Responses'!$J$13,5,IF($J316='Auto Responses'!$J$12,10,IF($J316='Auto Responses'!$J$11,20,0)))))</f>
        <v>20</v>
      </c>
      <c r="P316" s="107">
        <f>IF(OR($O316='Auto Responses'!$J$5,$L316='Auto Responses'!$J$5),'Auto Responses'!$J$5,$O316*$L316)</f>
        <v>0</v>
      </c>
      <c r="Q316" s="107">
        <f t="shared" si="32"/>
        <v>0</v>
      </c>
      <c r="R316" s="107">
        <f t="shared" si="37"/>
        <v>0</v>
      </c>
      <c r="S316" s="107">
        <f t="shared" si="33"/>
        <v>0</v>
      </c>
      <c r="T316" s="107">
        <f t="shared" si="34"/>
        <v>1</v>
      </c>
      <c r="U316" s="107">
        <f t="shared" si="38"/>
        <v>80</v>
      </c>
      <c r="V316" s="107">
        <f t="shared" si="35"/>
        <v>80</v>
      </c>
    </row>
    <row r="317" spans="1:22" ht="57" x14ac:dyDescent="0.2">
      <c r="A317" s="4" t="str">
        <f>Questions!$A317</f>
        <v>AISC-03</v>
      </c>
      <c r="B317" s="4" t="str">
        <f t="shared" si="36"/>
        <v>AISC</v>
      </c>
      <c r="C317" s="4" t="str">
        <f>VLOOKUP($A317,Questions!$A$3:$L$333,2,0)&amp;""</f>
        <v>Do you provide logging for your solution's AI feature(s) that includes user, date, and action taken?*</v>
      </c>
      <c r="D317" s="4" t="str">
        <f>VLOOKUP($A317,Questions!$A$3:$L$333,11,0)&amp;""</f>
        <v/>
      </c>
      <c r="E317" s="4" t="str">
        <f>VLOOKUP($A317,Questions!$A$3:$L$333,12,0)&amp;""</f>
        <v>AI</v>
      </c>
      <c r="F317" s="4" t="str">
        <f>VLOOKUP($A317,'Institution Evaluation'!$A$56:$K$345,3,0)&amp;""</f>
        <v/>
      </c>
      <c r="G317" s="4" t="str">
        <f>VLOOKUP($A317,'Institution Evaluation'!$A$56:$K$345,7,0)&amp;""</f>
        <v>Yes</v>
      </c>
      <c r="H317" s="4" t="str">
        <f>VLOOKUP($A317,'Institution Evaluation'!$A$56:$K$345,8,0)&amp;""</f>
        <v/>
      </c>
      <c r="I317" s="4" t="str">
        <f>VLOOKUP($A317,'Institution Evaluation'!$A$56:$K$345,9,0)&amp;""</f>
        <v>Critical Importance</v>
      </c>
      <c r="J317" s="4" t="str">
        <f>VLOOKUP($A317,'Institution Evaluation'!$A$56:$K$345,10,0)&amp;""</f>
        <v/>
      </c>
      <c r="K317" s="4">
        <f>IF($I317='Auto Responses'!$J$11,20,IF($I317='Auto Responses'!$J$13,5,10))</f>
        <v>20</v>
      </c>
      <c r="L317" s="107">
        <f>IF($E317='Auto Responses'!$L$13, 'Auto Responses'!$J$5,IF(AND($D317='Auto Responses'!$J$27,$H317=""),'Auto Responses'!$J$5,IF(AND($D317='Auto Responses'!$J$27,$H317='Auto Responses'!$J$7),1,IF(AND($D317='Auto Responses'!$J$27,$H317='Auto Responses'!$J$8),0,IF(OR(AND($F317=$G317,$H317=""),$H317='Auto Responses'!$J$7),1,0)))))</f>
        <v>0</v>
      </c>
      <c r="M317" s="4" t="str">
        <f>VLOOKUP($A317,'Institution Evaluation'!$A$56:$K$345,11,0)&amp;""</f>
        <v>FALSE</v>
      </c>
      <c r="N317" s="4">
        <f>IF($J317='Auto Responses'!$J$11,1,IF(AND($J317="",$I317='Auto Responses'!$J$11),1,0))</f>
        <v>1</v>
      </c>
      <c r="O317" s="107">
        <f>IF(OR($F$20='Auto Responses'!$J$4,$E317='Auto Responses'!$L$13,$F317='Auto Responses'!$J$5),'Auto Responses'!$J$5,IF($J317="",$K317,IF($J317='Auto Responses'!$J$13,5,IF($J317='Auto Responses'!$J$12,10,IF($J317='Auto Responses'!$J$11,20,0)))))</f>
        <v>20</v>
      </c>
      <c r="P317" s="107">
        <f>IF(OR($O317='Auto Responses'!$J$5,$L317='Auto Responses'!$J$5),'Auto Responses'!$J$5,$O317*$L317)</f>
        <v>0</v>
      </c>
      <c r="Q317" s="107">
        <f t="shared" ref="Q317:Q333" si="39">IF(M317="TRUE",1,0)</f>
        <v>0</v>
      </c>
      <c r="R317" s="107">
        <f t="shared" si="37"/>
        <v>0</v>
      </c>
      <c r="S317" s="107">
        <f t="shared" ref="S317:S333" si="40">IF(Q317=0,0,R317)</f>
        <v>0</v>
      </c>
      <c r="T317" s="107">
        <f t="shared" ref="T317:T333" si="41">IF(N317=1,1,0)</f>
        <v>1</v>
      </c>
      <c r="U317" s="107">
        <f t="shared" si="38"/>
        <v>81</v>
      </c>
      <c r="V317" s="107">
        <f t="shared" ref="V317:V333" si="42">IF(T317=0,0,U317)</f>
        <v>81</v>
      </c>
    </row>
    <row r="318" spans="1:22" ht="57" x14ac:dyDescent="0.2">
      <c r="A318" s="4" t="str">
        <f>Questions!$A318</f>
        <v>AISC-04</v>
      </c>
      <c r="B318" s="4" t="str">
        <f t="shared" ref="B318:B333" si="43">LEFT(A318,4)</f>
        <v>AISC</v>
      </c>
      <c r="C318" s="4" t="str">
        <f>VLOOKUP($A318,Questions!$A$3:$L$333,2,0)&amp;""</f>
        <v>Please describe how you validate user inputs.</v>
      </c>
      <c r="D318" s="4" t="str">
        <f>VLOOKUP($A318,Questions!$A$3:$L$333,11,0)&amp;""</f>
        <v/>
      </c>
      <c r="E318" s="4" t="str">
        <f>VLOOKUP($A318,Questions!$A$3:$L$333,12,0)&amp;""</f>
        <v>Not scored</v>
      </c>
      <c r="F318" s="4" t="str">
        <f>VLOOKUP($A318,'Institution Evaluation'!$A$56:$K$345,3,0)&amp;""</f>
        <v/>
      </c>
      <c r="G318" s="4" t="str">
        <f>VLOOKUP($A318,'Institution Evaluation'!$A$56:$K$345,7,0)&amp;""</f>
        <v>Not scored</v>
      </c>
      <c r="H318" s="4" t="str">
        <f>VLOOKUP($A318,'Institution Evaluation'!$A$56:$K$345,8,0)&amp;""</f>
        <v/>
      </c>
      <c r="I318" s="4" t="str">
        <f>VLOOKUP($A318,'Institution Evaluation'!$A$56:$K$345,9,0)&amp;""</f>
        <v/>
      </c>
      <c r="J318" s="4" t="str">
        <f>VLOOKUP($A318,'Institution Evaluation'!$A$56:$K$345,10,0)&amp;""</f>
        <v/>
      </c>
      <c r="K318" s="4">
        <f>IF($I318='Auto Responses'!$J$11,20,IF($I318='Auto Responses'!$J$13,5,10))</f>
        <v>10</v>
      </c>
      <c r="L318" s="107" t="str">
        <f>IF($E318='Auto Responses'!$L$13, 'Auto Responses'!$J$5,IF(AND($D318='Auto Responses'!$J$27,$H318=""),'Auto Responses'!$J$5,IF(AND($D318='Auto Responses'!$J$27,$H318='Auto Responses'!$J$7),1,IF(AND($D318='Auto Responses'!$J$27,$H318='Auto Responses'!$J$8),0,IF(OR(AND($F318=$G318,$H318=""),$H318='Auto Responses'!$J$7),1,0)))))</f>
        <v>N/A</v>
      </c>
      <c r="M318" s="4" t="str">
        <f>VLOOKUP($A318,'Institution Evaluation'!$A$56:$K$345,11,0)&amp;""</f>
        <v>FALSE</v>
      </c>
      <c r="N318" s="4">
        <f>IF($J318='Auto Responses'!$J$11,1,IF(AND($J318="",$I318='Auto Responses'!$J$11),1,0))</f>
        <v>0</v>
      </c>
      <c r="O318" s="107" t="str">
        <f>IF(OR($F$20='Auto Responses'!$J$4,$E318='Auto Responses'!$L$13,$F318='Auto Responses'!$J$5),'Auto Responses'!$J$5,IF($J318="",$K318,IF($J318='Auto Responses'!$J$13,5,IF($J318='Auto Responses'!$J$12,10,IF($J318='Auto Responses'!$J$11,20,0)))))</f>
        <v>N/A</v>
      </c>
      <c r="P318" s="107" t="str">
        <f>IF(OR($O318='Auto Responses'!$J$5,$L318='Auto Responses'!$J$5),'Auto Responses'!$J$5,$O318*$L318)</f>
        <v>N/A</v>
      </c>
      <c r="Q318" s="107">
        <f t="shared" si="39"/>
        <v>0</v>
      </c>
      <c r="R318" s="107">
        <f t="shared" si="37"/>
        <v>0</v>
      </c>
      <c r="S318" s="107">
        <f t="shared" si="40"/>
        <v>0</v>
      </c>
      <c r="T318" s="107">
        <f t="shared" si="41"/>
        <v>0</v>
      </c>
      <c r="U318" s="107">
        <f t="shared" si="38"/>
        <v>81</v>
      </c>
      <c r="V318" s="107">
        <f t="shared" si="42"/>
        <v>0</v>
      </c>
    </row>
    <row r="319" spans="1:22" ht="57" x14ac:dyDescent="0.2">
      <c r="A319" s="4" t="str">
        <f>Questions!$A319</f>
        <v>AISC-05</v>
      </c>
      <c r="B319" s="4" t="str">
        <f t="shared" si="43"/>
        <v>AISC</v>
      </c>
      <c r="C319" s="4" t="str">
        <f>VLOOKUP($A319,Questions!$A$3:$L$333,2,0)&amp;""</f>
        <v>Do you plan for and mitigate supply-chain risk related to your AI features?</v>
      </c>
      <c r="D319" s="4" t="str">
        <f>VLOOKUP($A319,Questions!$A$3:$L$333,11,0)&amp;""</f>
        <v/>
      </c>
      <c r="E319" s="4" t="str">
        <f>VLOOKUP($A319,Questions!$A$3:$L$333,12,0)&amp;""</f>
        <v>AI</v>
      </c>
      <c r="F319" s="4" t="str">
        <f>VLOOKUP($A319,'Institution Evaluation'!$A$56:$K$345,3,0)&amp;""</f>
        <v/>
      </c>
      <c r="G319" s="4" t="str">
        <f>VLOOKUP($A319,'Institution Evaluation'!$A$56:$K$345,7,0)&amp;""</f>
        <v>Yes</v>
      </c>
      <c r="H319" s="4" t="str">
        <f>VLOOKUP($A319,'Institution Evaluation'!$A$56:$K$345,8,0)&amp;""</f>
        <v/>
      </c>
      <c r="I319" s="4" t="str">
        <f>VLOOKUP($A319,'Institution Evaluation'!$A$56:$K$345,9,0)&amp;""</f>
        <v>Standard Importance</v>
      </c>
      <c r="J319" s="4" t="str">
        <f>VLOOKUP($A319,'Institution Evaluation'!$A$56:$K$345,10,0)&amp;""</f>
        <v/>
      </c>
      <c r="K319" s="4">
        <f>IF($I319='Auto Responses'!$J$11,20,IF($I319='Auto Responses'!$J$13,5,10))</f>
        <v>10</v>
      </c>
      <c r="L319" s="107">
        <f>IF($E319='Auto Responses'!$L$13, 'Auto Responses'!$J$5,IF(AND($D319='Auto Responses'!$J$27,$H319=""),'Auto Responses'!$J$5,IF(AND($D319='Auto Responses'!$J$27,$H319='Auto Responses'!$J$7),1,IF(AND($D319='Auto Responses'!$J$27,$H319='Auto Responses'!$J$8),0,IF(OR(AND($F319=$G319,$H319=""),$H319='Auto Responses'!$J$7),1,0)))))</f>
        <v>0</v>
      </c>
      <c r="M319" s="4" t="str">
        <f>VLOOKUP($A319,'Institution Evaluation'!$A$56:$K$345,11,0)&amp;""</f>
        <v>FALSE</v>
      </c>
      <c r="N319" s="4">
        <f>IF($J319='Auto Responses'!$J$11,1,IF(AND($J319="",$I319='Auto Responses'!$J$11),1,0))</f>
        <v>0</v>
      </c>
      <c r="O319" s="107">
        <f>IF(OR($F$20='Auto Responses'!$J$4,$E319='Auto Responses'!$L$13,$F319='Auto Responses'!$J$5),'Auto Responses'!$J$5,IF($J319="",$K319,IF($J319='Auto Responses'!$J$13,5,IF($J319='Auto Responses'!$J$12,10,IF($J319='Auto Responses'!$J$11,20,0)))))</f>
        <v>10</v>
      </c>
      <c r="P319" s="107">
        <f>IF(OR($O319='Auto Responses'!$J$5,$L319='Auto Responses'!$J$5),'Auto Responses'!$J$5,$O319*$L319)</f>
        <v>0</v>
      </c>
      <c r="Q319" s="107">
        <f t="shared" si="39"/>
        <v>0</v>
      </c>
      <c r="R319" s="107">
        <f t="shared" si="37"/>
        <v>0</v>
      </c>
      <c r="S319" s="107">
        <f t="shared" si="40"/>
        <v>0</v>
      </c>
      <c r="T319" s="107">
        <f t="shared" si="41"/>
        <v>0</v>
      </c>
      <c r="U319" s="107">
        <f t="shared" si="38"/>
        <v>81</v>
      </c>
      <c r="V319" s="107">
        <f t="shared" si="42"/>
        <v>0</v>
      </c>
    </row>
    <row r="320" spans="1:22" ht="57" x14ac:dyDescent="0.2">
      <c r="A320" s="4" t="str">
        <f>Questions!$A320</f>
        <v>AIML-01</v>
      </c>
      <c r="B320" s="4" t="str">
        <f t="shared" si="43"/>
        <v>AIML</v>
      </c>
      <c r="C320" s="4" t="str">
        <f>VLOOKUP($A320,Questions!$A$3:$L$333,2,0)&amp;""</f>
        <v>Do you separate ML training data from your ML solution data?*</v>
      </c>
      <c r="D320" s="4" t="str">
        <f>VLOOKUP($A320,Questions!$A$3:$L$333,11,0)&amp;""</f>
        <v/>
      </c>
      <c r="E320" s="4" t="str">
        <f>VLOOKUP($A320,Questions!$A$3:$L$333,12,0)&amp;""</f>
        <v>AI</v>
      </c>
      <c r="F320" s="4" t="str">
        <f>VLOOKUP($A320,'Institution Evaluation'!$A$56:$K$345,3,0)&amp;""</f>
        <v/>
      </c>
      <c r="G320" s="4" t="str">
        <f>VLOOKUP($A320,'Institution Evaluation'!$A$56:$K$345,7,0)&amp;""</f>
        <v>Yes</v>
      </c>
      <c r="H320" s="4" t="str">
        <f>VLOOKUP($A320,'Institution Evaluation'!$A$56:$K$345,8,0)&amp;""</f>
        <v/>
      </c>
      <c r="I320" s="4" t="str">
        <f>VLOOKUP($A320,'Institution Evaluation'!$A$56:$K$345,9,0)&amp;""</f>
        <v>Critical Importance</v>
      </c>
      <c r="J320" s="4" t="str">
        <f>VLOOKUP($A320,'Institution Evaluation'!$A$56:$K$345,10,0)&amp;""</f>
        <v/>
      </c>
      <c r="K320" s="4">
        <f>IF($I320='Auto Responses'!$J$11,20,IF($I320='Auto Responses'!$J$13,5,10))</f>
        <v>20</v>
      </c>
      <c r="L320" s="107">
        <f>IF($E320='Auto Responses'!$L$13, 'Auto Responses'!$J$5,IF(AND($D320='Auto Responses'!$J$27,$H320=""),'Auto Responses'!$J$5,IF(AND($D320='Auto Responses'!$J$27,$H320='Auto Responses'!$J$7),1,IF(AND($D320='Auto Responses'!$J$27,$H320='Auto Responses'!$J$8),0,IF(OR(AND($F320=$G320,$H320=""),$H320='Auto Responses'!$J$7),1,0)))))</f>
        <v>0</v>
      </c>
      <c r="M320" s="4" t="str">
        <f>VLOOKUP($A320,'Institution Evaluation'!$A$56:$K$345,11,0)&amp;""</f>
        <v>FALSE</v>
      </c>
      <c r="N320" s="4">
        <f>IF($J320='Auto Responses'!$J$11,1,IF(AND($J320="",$I320='Auto Responses'!$J$11),1,0))</f>
        <v>1</v>
      </c>
      <c r="O320" s="107">
        <f>IF(OR($F$20='Auto Responses'!$J$4,$F$303='Auto Responses'!$J$4,$E320='Auto Responses'!$L$13,$F320='Auto Responses'!$J$5),'Auto Responses'!$J$5,IF($J320="",$K320,IF($J320='Auto Responses'!$J$13,5,IF($J320='Auto Responses'!$J$12,10,IF($J320='Auto Responses'!$J$11,20,0)))))</f>
        <v>20</v>
      </c>
      <c r="P320" s="107">
        <f>IF(OR($O320='Auto Responses'!$J$5,$L320='Auto Responses'!$J$5),'Auto Responses'!$J$5,$O320*$L320)</f>
        <v>0</v>
      </c>
      <c r="Q320" s="107">
        <f t="shared" si="39"/>
        <v>0</v>
      </c>
      <c r="R320" s="107">
        <f t="shared" si="37"/>
        <v>0</v>
      </c>
      <c r="S320" s="107">
        <f t="shared" si="40"/>
        <v>0</v>
      </c>
      <c r="T320" s="107">
        <f t="shared" si="41"/>
        <v>1</v>
      </c>
      <c r="U320" s="107">
        <f t="shared" si="38"/>
        <v>82</v>
      </c>
      <c r="V320" s="107">
        <f t="shared" si="42"/>
        <v>82</v>
      </c>
    </row>
    <row r="321" spans="1:23" ht="57" x14ac:dyDescent="0.2">
      <c r="A321" s="4" t="str">
        <f>Questions!$A321</f>
        <v>AIML-02</v>
      </c>
      <c r="B321" s="4" t="str">
        <f t="shared" si="43"/>
        <v>AIML</v>
      </c>
      <c r="C321" s="4" t="str">
        <f>VLOOKUP($A321,Questions!$A$3:$L$333,2,0)&amp;""</f>
        <v>Do you authenticate and verify your ML model's feedback?*</v>
      </c>
      <c r="D321" s="4" t="str">
        <f>VLOOKUP($A321,Questions!$A$3:$L$333,11,0)&amp;""</f>
        <v/>
      </c>
      <c r="E321" s="4" t="str">
        <f>VLOOKUP($A321,Questions!$A$3:$L$333,12,0)&amp;""</f>
        <v>AI</v>
      </c>
      <c r="F321" s="4" t="str">
        <f>VLOOKUP($A321,'Institution Evaluation'!$A$56:$K$345,3,0)&amp;""</f>
        <v/>
      </c>
      <c r="G321" s="4" t="str">
        <f>VLOOKUP($A321,'Institution Evaluation'!$A$56:$K$345,7,0)&amp;""</f>
        <v>Yes</v>
      </c>
      <c r="H321" s="4" t="str">
        <f>VLOOKUP($A321,'Institution Evaluation'!$A$56:$K$345,8,0)&amp;""</f>
        <v/>
      </c>
      <c r="I321" s="4" t="str">
        <f>VLOOKUP($A321,'Institution Evaluation'!$A$56:$K$345,9,0)&amp;""</f>
        <v>Critical Importance</v>
      </c>
      <c r="J321" s="4" t="str">
        <f>VLOOKUP($A321,'Institution Evaluation'!$A$56:$K$345,10,0)&amp;""</f>
        <v/>
      </c>
      <c r="K321" s="4">
        <f>IF($I321='Auto Responses'!$J$11,20,IF($I321='Auto Responses'!$J$13,5,10))</f>
        <v>20</v>
      </c>
      <c r="L321" s="107">
        <f>IF($E321='Auto Responses'!$L$13, 'Auto Responses'!$J$5,IF(AND($D321='Auto Responses'!$J$27,$H321=""),'Auto Responses'!$J$5,IF(AND($D321='Auto Responses'!$J$27,$H321='Auto Responses'!$J$7),1,IF(AND($D321='Auto Responses'!$J$27,$H321='Auto Responses'!$J$8),0,IF(OR(AND($F321=$G321,$H321=""),$H321='Auto Responses'!$J$7),1,0)))))</f>
        <v>0</v>
      </c>
      <c r="M321" s="4" t="str">
        <f>VLOOKUP($A321,'Institution Evaluation'!$A$56:$K$345,11,0)&amp;""</f>
        <v>FALSE</v>
      </c>
      <c r="N321" s="4">
        <f>IF($J321='Auto Responses'!$J$11,1,IF(AND($J321="",$I321='Auto Responses'!$J$11),1,0))</f>
        <v>1</v>
      </c>
      <c r="O321" s="107">
        <f>IF(OR($F$20='Auto Responses'!$J$4,$F$303='Auto Responses'!$J$4,$E321='Auto Responses'!$L$13,$F321='Auto Responses'!$J$5),'Auto Responses'!$J$5,IF($J321="",$K321,IF($J321='Auto Responses'!$J$13,5,IF($J321='Auto Responses'!$J$12,10,IF($J321='Auto Responses'!$J$11,20,0)))))</f>
        <v>20</v>
      </c>
      <c r="P321" s="107">
        <f>IF(OR($O321='Auto Responses'!$J$5,$L321='Auto Responses'!$J$5),'Auto Responses'!$J$5,$O321*$L321)</f>
        <v>0</v>
      </c>
      <c r="Q321" s="107">
        <f t="shared" si="39"/>
        <v>0</v>
      </c>
      <c r="R321" s="107">
        <f t="shared" si="37"/>
        <v>0</v>
      </c>
      <c r="S321" s="107">
        <f t="shared" si="40"/>
        <v>0</v>
      </c>
      <c r="T321" s="107">
        <f t="shared" si="41"/>
        <v>1</v>
      </c>
      <c r="U321" s="107">
        <f t="shared" si="38"/>
        <v>83</v>
      </c>
      <c r="V321" s="107">
        <f t="shared" si="42"/>
        <v>83</v>
      </c>
    </row>
    <row r="322" spans="1:23" ht="57" x14ac:dyDescent="0.2">
      <c r="A322" s="4" t="str">
        <f>Questions!$A322</f>
        <v>AIML-03</v>
      </c>
      <c r="B322" s="4" t="str">
        <f t="shared" si="43"/>
        <v>AIML</v>
      </c>
      <c r="C322" s="4" t="str">
        <f>VLOOKUP($A322,Questions!$A$3:$L$333,2,0)&amp;""</f>
        <v>Is your ML training data vetted, validated, and verified before training the solution's AI model?</v>
      </c>
      <c r="D322" s="4" t="str">
        <f>VLOOKUP($A322,Questions!$A$3:$L$333,11,0)&amp;""</f>
        <v/>
      </c>
      <c r="E322" s="4" t="str">
        <f>VLOOKUP($A322,Questions!$A$3:$L$333,12,0)&amp;""</f>
        <v>AI</v>
      </c>
      <c r="F322" s="4" t="str">
        <f>VLOOKUP($A322,'Institution Evaluation'!$A$56:$K$345,3,0)&amp;""</f>
        <v/>
      </c>
      <c r="G322" s="4" t="str">
        <f>VLOOKUP($A322,'Institution Evaluation'!$A$56:$K$345,7,0)&amp;""</f>
        <v>Yes</v>
      </c>
      <c r="H322" s="4" t="str">
        <f>VLOOKUP($A322,'Institution Evaluation'!$A$56:$K$345,8,0)&amp;""</f>
        <v/>
      </c>
      <c r="I322" s="4" t="str">
        <f>VLOOKUP($A322,'Institution Evaluation'!$A$56:$K$345,9,0)&amp;""</f>
        <v>Standard Importance</v>
      </c>
      <c r="J322" s="4" t="str">
        <f>VLOOKUP($A322,'Institution Evaluation'!$A$56:$K$345,10,0)&amp;""</f>
        <v/>
      </c>
      <c r="K322" s="4">
        <f>IF($I322='Auto Responses'!$J$11,20,IF($I322='Auto Responses'!$J$13,5,10))</f>
        <v>10</v>
      </c>
      <c r="L322" s="107">
        <f>IF($E322='Auto Responses'!$L$13, 'Auto Responses'!$J$5,IF(AND($D322='Auto Responses'!$J$27,$H322=""),'Auto Responses'!$J$5,IF(AND($D322='Auto Responses'!$J$27,$H322='Auto Responses'!$J$7),1,IF(AND($D322='Auto Responses'!$J$27,$H322='Auto Responses'!$J$8),0,IF(OR(AND($F322=$G322,$H322=""),$H322='Auto Responses'!$J$7),1,0)))))</f>
        <v>0</v>
      </c>
      <c r="M322" s="4" t="str">
        <f>VLOOKUP($A322,'Institution Evaluation'!$A$56:$K$345,11,0)&amp;""</f>
        <v>FALSE</v>
      </c>
      <c r="N322" s="4">
        <f>IF($J322='Auto Responses'!$J$11,1,IF(AND($J322="",$I322='Auto Responses'!$J$11),1,0))</f>
        <v>0</v>
      </c>
      <c r="O322" s="107">
        <f>IF(OR($F$20='Auto Responses'!$J$4,$F$303='Auto Responses'!$J$4,$E322='Auto Responses'!$L$13,$F322='Auto Responses'!$J$5),'Auto Responses'!$J$5,IF($J322="",$K322,IF($J322='Auto Responses'!$J$13,5,IF($J322='Auto Responses'!$J$12,10,IF($J322='Auto Responses'!$J$11,20,0)))))</f>
        <v>10</v>
      </c>
      <c r="P322" s="107">
        <f>IF(OR($O322='Auto Responses'!$J$5,$L322='Auto Responses'!$J$5),'Auto Responses'!$J$5,$O322*$L322)</f>
        <v>0</v>
      </c>
      <c r="Q322" s="107">
        <f t="shared" si="39"/>
        <v>0</v>
      </c>
      <c r="R322" s="107">
        <f t="shared" si="37"/>
        <v>0</v>
      </c>
      <c r="S322" s="107">
        <f t="shared" si="40"/>
        <v>0</v>
      </c>
      <c r="T322" s="107">
        <f t="shared" si="41"/>
        <v>0</v>
      </c>
      <c r="U322" s="107">
        <f t="shared" si="38"/>
        <v>83</v>
      </c>
      <c r="V322" s="107">
        <f t="shared" si="42"/>
        <v>0</v>
      </c>
    </row>
    <row r="323" spans="1:23" ht="57" x14ac:dyDescent="0.2">
      <c r="A323" s="4" t="str">
        <f>Questions!$A323</f>
        <v>AIML-04</v>
      </c>
      <c r="B323" s="4" t="str">
        <f t="shared" si="43"/>
        <v>AIML</v>
      </c>
      <c r="C323" s="4" t="str">
        <f>VLOOKUP($A323,Questions!$A$3:$L$333,2,0)&amp;""</f>
        <v>Is your ML training data monitored and audited?</v>
      </c>
      <c r="D323" s="4" t="str">
        <f>VLOOKUP($A323,Questions!$A$3:$L$333,11,0)&amp;""</f>
        <v/>
      </c>
      <c r="E323" s="4" t="str">
        <f>VLOOKUP($A323,Questions!$A$3:$L$333,12,0)&amp;""</f>
        <v>AI</v>
      </c>
      <c r="F323" s="4" t="str">
        <f>VLOOKUP($A323,'Institution Evaluation'!$A$56:$K$345,3,0)&amp;""</f>
        <v/>
      </c>
      <c r="G323" s="4" t="str">
        <f>VLOOKUP($A323,'Institution Evaluation'!$A$56:$K$345,7,0)&amp;""</f>
        <v>Yes</v>
      </c>
      <c r="H323" s="4" t="str">
        <f>VLOOKUP($A323,'Institution Evaluation'!$A$56:$K$345,8,0)&amp;""</f>
        <v/>
      </c>
      <c r="I323" s="4" t="str">
        <f>VLOOKUP($A323,'Institution Evaluation'!$A$56:$K$345,9,0)&amp;""</f>
        <v>Standard Importance</v>
      </c>
      <c r="J323" s="4" t="str">
        <f>VLOOKUP($A323,'Institution Evaluation'!$A$56:$K$345,10,0)&amp;""</f>
        <v/>
      </c>
      <c r="K323" s="4">
        <f>IF($I323='Auto Responses'!$J$11,20,IF($I323='Auto Responses'!$J$13,5,10))</f>
        <v>10</v>
      </c>
      <c r="L323" s="107">
        <f>IF($E323='Auto Responses'!$L$13, 'Auto Responses'!$J$5,IF(AND($D323='Auto Responses'!$J$27,$H323=""),'Auto Responses'!$J$5,IF(AND($D323='Auto Responses'!$J$27,$H323='Auto Responses'!$J$7),1,IF(AND($D323='Auto Responses'!$J$27,$H323='Auto Responses'!$J$8),0,IF(OR(AND($F323=$G323,$H323=""),$H323='Auto Responses'!$J$7),1,0)))))</f>
        <v>0</v>
      </c>
      <c r="M323" s="4" t="str">
        <f>VLOOKUP($A323,'Institution Evaluation'!$A$56:$K$345,11,0)&amp;""</f>
        <v>FALSE</v>
      </c>
      <c r="N323" s="4">
        <f>IF($J323='Auto Responses'!$J$11,1,IF(AND($J323="",$I323='Auto Responses'!$J$11),1,0))</f>
        <v>0</v>
      </c>
      <c r="O323" s="107">
        <f>IF(OR($F$20='Auto Responses'!$J$4,$F$303='Auto Responses'!$J$4,$E323='Auto Responses'!$L$13,$F323='Auto Responses'!$J$5),'Auto Responses'!$J$5,IF($J323="",$K323,IF($J323='Auto Responses'!$J$13,5,IF($J323='Auto Responses'!$J$12,10,IF($J323='Auto Responses'!$J$11,20,0)))))</f>
        <v>10</v>
      </c>
      <c r="P323" s="107">
        <f>IF(OR($O323='Auto Responses'!$J$5,$L323='Auto Responses'!$J$5),'Auto Responses'!$J$5,$O323*$L323)</f>
        <v>0</v>
      </c>
      <c r="Q323" s="107">
        <f t="shared" si="39"/>
        <v>0</v>
      </c>
      <c r="R323" s="107">
        <f t="shared" si="37"/>
        <v>0</v>
      </c>
      <c r="S323" s="107">
        <f t="shared" si="40"/>
        <v>0</v>
      </c>
      <c r="T323" s="107">
        <f t="shared" si="41"/>
        <v>0</v>
      </c>
      <c r="U323" s="107">
        <f t="shared" si="38"/>
        <v>83</v>
      </c>
      <c r="V323" s="107">
        <f t="shared" si="42"/>
        <v>0</v>
      </c>
    </row>
    <row r="324" spans="1:23" ht="57" x14ac:dyDescent="0.2">
      <c r="A324" s="4" t="str">
        <f>Questions!$A324</f>
        <v>AIML-05</v>
      </c>
      <c r="B324" s="4" t="str">
        <f t="shared" si="43"/>
        <v>AIML</v>
      </c>
      <c r="C324" s="4" t="str">
        <f>VLOOKUP($A324,Questions!$A$3:$L$333,2,0)&amp;""</f>
        <v>Have you limited access to your ML training data to only staff with an explicit business need?</v>
      </c>
      <c r="D324" s="4" t="str">
        <f>VLOOKUP($A324,Questions!$A$3:$L$333,11,0)&amp;""</f>
        <v/>
      </c>
      <c r="E324" s="4" t="str">
        <f>VLOOKUP($A324,Questions!$A$3:$L$333,12,0)&amp;""</f>
        <v>AI</v>
      </c>
      <c r="F324" s="4" t="str">
        <f>VLOOKUP($A324,'Institution Evaluation'!$A$56:$K$345,3,0)&amp;""</f>
        <v/>
      </c>
      <c r="G324" s="4" t="str">
        <f>VLOOKUP($A324,'Institution Evaluation'!$A$56:$K$345,7,0)&amp;""</f>
        <v>Yes</v>
      </c>
      <c r="H324" s="4" t="str">
        <f>VLOOKUP($A324,'Institution Evaluation'!$A$56:$K$345,8,0)&amp;""</f>
        <v/>
      </c>
      <c r="I324" s="4" t="str">
        <f>VLOOKUP($A324,'Institution Evaluation'!$A$56:$K$345,9,0)&amp;""</f>
        <v>Minor Importance</v>
      </c>
      <c r="J324" s="4" t="str">
        <f>VLOOKUP($A324,'Institution Evaluation'!$A$56:$K$345,10,0)&amp;""</f>
        <v/>
      </c>
      <c r="K324" s="4">
        <f>IF($I324='Auto Responses'!$J$11,20,IF($I324='Auto Responses'!$J$13,5,10))</f>
        <v>5</v>
      </c>
      <c r="L324" s="107">
        <f>IF($E324='Auto Responses'!$L$13, 'Auto Responses'!$J$5,IF(AND($D324='Auto Responses'!$J$27,$H324=""),'Auto Responses'!$J$5,IF(AND($D324='Auto Responses'!$J$27,$H324='Auto Responses'!$J$7),1,IF(AND($D324='Auto Responses'!$J$27,$H324='Auto Responses'!$J$8),0,IF(OR(AND($F324=$G324,$H324=""),$H324='Auto Responses'!$J$7),1,0)))))</f>
        <v>0</v>
      </c>
      <c r="M324" s="4" t="str">
        <f>VLOOKUP($A324,'Institution Evaluation'!$A$56:$K$345,11,0)&amp;""</f>
        <v>FALSE</v>
      </c>
      <c r="N324" s="4">
        <f>IF($J324='Auto Responses'!$J$11,1,IF(AND($J324="",$I324='Auto Responses'!$J$11),1,0))</f>
        <v>0</v>
      </c>
      <c r="O324" s="107">
        <f>IF(OR($F$20='Auto Responses'!$J$4,$F$303='Auto Responses'!$J$4,$E324='Auto Responses'!$L$13,$F324='Auto Responses'!$J$5),'Auto Responses'!$J$5,IF($J324="",$K324,IF($J324='Auto Responses'!$J$13,5,IF($J324='Auto Responses'!$J$12,10,IF($J324='Auto Responses'!$J$11,20,0)))))</f>
        <v>5</v>
      </c>
      <c r="P324" s="107">
        <f>IF(OR($O324='Auto Responses'!$J$5,$L324='Auto Responses'!$J$5),'Auto Responses'!$J$5,$O324*$L324)</f>
        <v>0</v>
      </c>
      <c r="Q324" s="107">
        <f t="shared" si="39"/>
        <v>0</v>
      </c>
      <c r="R324" s="107">
        <f t="shared" si="37"/>
        <v>0</v>
      </c>
      <c r="S324" s="107">
        <f t="shared" si="40"/>
        <v>0</v>
      </c>
      <c r="T324" s="107">
        <f t="shared" si="41"/>
        <v>0</v>
      </c>
      <c r="U324" s="107">
        <f t="shared" si="38"/>
        <v>83</v>
      </c>
      <c r="V324" s="107">
        <f t="shared" si="42"/>
        <v>0</v>
      </c>
    </row>
    <row r="325" spans="1:23" ht="57" x14ac:dyDescent="0.2">
      <c r="A325" s="4" t="str">
        <f>Questions!$A325</f>
        <v>AIML-06</v>
      </c>
      <c r="B325" s="4" t="str">
        <f t="shared" si="43"/>
        <v>AIML</v>
      </c>
      <c r="C325" s="4" t="str">
        <f>VLOOKUP($A325,Questions!$A$3:$L$333,2,0)&amp;""</f>
        <v>Have you implemented adversarial training or other model defense mechanisms to protect your ML-related features?</v>
      </c>
      <c r="D325" s="4" t="str">
        <f>VLOOKUP($A325,Questions!$A$3:$L$333,11,0)&amp;""</f>
        <v/>
      </c>
      <c r="E325" s="4" t="str">
        <f>VLOOKUP($A325,Questions!$A$3:$L$333,12,0)&amp;""</f>
        <v>AI</v>
      </c>
      <c r="F325" s="4" t="str">
        <f>VLOOKUP($A325,'Institution Evaluation'!$A$56:$K$345,3,0)&amp;""</f>
        <v/>
      </c>
      <c r="G325" s="4" t="str">
        <f>VLOOKUP($A325,'Institution Evaluation'!$A$56:$K$345,7,0)&amp;""</f>
        <v>Yes</v>
      </c>
      <c r="H325" s="4" t="str">
        <f>VLOOKUP($A325,'Institution Evaluation'!$A$56:$K$345,8,0)&amp;""</f>
        <v/>
      </c>
      <c r="I325" s="4" t="str">
        <f>VLOOKUP($A325,'Institution Evaluation'!$A$56:$K$345,9,0)&amp;""</f>
        <v>Minor Importance</v>
      </c>
      <c r="J325" s="4" t="str">
        <f>VLOOKUP($A325,'Institution Evaluation'!$A$56:$K$345,10,0)&amp;""</f>
        <v/>
      </c>
      <c r="K325" s="4">
        <f>IF($I325='Auto Responses'!$J$11,20,IF($I325='Auto Responses'!$J$13,5,10))</f>
        <v>5</v>
      </c>
      <c r="L325" s="107">
        <f>IF($E325='Auto Responses'!$L$13, 'Auto Responses'!$J$5,IF(AND($D325='Auto Responses'!$J$27,$H325=""),'Auto Responses'!$J$5,IF(AND($D325='Auto Responses'!$J$27,$H325='Auto Responses'!$J$7),1,IF(AND($D325='Auto Responses'!$J$27,$H325='Auto Responses'!$J$8),0,IF(OR(AND($F325=$G325,$H325=""),$H325='Auto Responses'!$J$7),1,0)))))</f>
        <v>0</v>
      </c>
      <c r="M325" s="4" t="str">
        <f>VLOOKUP($A325,'Institution Evaluation'!$A$56:$K$345,11,0)&amp;""</f>
        <v>FALSE</v>
      </c>
      <c r="N325" s="4">
        <f>IF($J325='Auto Responses'!$J$11,1,IF(AND($J325="",$I325='Auto Responses'!$J$11),1,0))</f>
        <v>0</v>
      </c>
      <c r="O325" s="107">
        <f>IF(OR($F$20='Auto Responses'!$J$4,$F$303='Auto Responses'!$J$4,$E325='Auto Responses'!$L$13,$F325='Auto Responses'!$J$5),'Auto Responses'!$J$5,IF($J325="",$K325,IF($J325='Auto Responses'!$J$13,5,IF($J325='Auto Responses'!$J$12,10,IF($J325='Auto Responses'!$J$11,20,0)))))</f>
        <v>5</v>
      </c>
      <c r="P325" s="107">
        <f>IF(OR($O325='Auto Responses'!$J$5,$L325='Auto Responses'!$J$5),'Auto Responses'!$J$5,$O325*$L325)</f>
        <v>0</v>
      </c>
      <c r="Q325" s="107">
        <f t="shared" si="39"/>
        <v>0</v>
      </c>
      <c r="R325" s="107">
        <f t="shared" ref="R325:R333" si="44">R324+Q325</f>
        <v>0</v>
      </c>
      <c r="S325" s="107">
        <f t="shared" si="40"/>
        <v>0</v>
      </c>
      <c r="T325" s="107">
        <f t="shared" si="41"/>
        <v>0</v>
      </c>
      <c r="U325" s="107">
        <f t="shared" ref="U325:U333" si="45">U324+T325</f>
        <v>83</v>
      </c>
      <c r="V325" s="107">
        <f t="shared" si="42"/>
        <v>0</v>
      </c>
    </row>
    <row r="326" spans="1:23" ht="57" x14ac:dyDescent="0.2">
      <c r="A326" s="4" t="str">
        <f>Questions!$A326</f>
        <v>AIML-07</v>
      </c>
      <c r="B326" s="4" t="str">
        <f t="shared" si="43"/>
        <v>AIML</v>
      </c>
      <c r="C326" s="4" t="str">
        <f>VLOOKUP($A326,Questions!$A$3:$L$333,2,0)&amp;""</f>
        <v>Do you make your ML model transparent through documentation and log inputs and outputs?</v>
      </c>
      <c r="D326" s="4" t="str">
        <f>VLOOKUP($A326,Questions!$A$3:$L$333,11,0)&amp;""</f>
        <v/>
      </c>
      <c r="E326" s="4" t="str">
        <f>VLOOKUP($A326,Questions!$A$3:$L$333,12,0)&amp;""</f>
        <v>AI</v>
      </c>
      <c r="F326" s="4" t="str">
        <f>VLOOKUP($A326,'Institution Evaluation'!$A$56:$K$345,3,0)&amp;""</f>
        <v/>
      </c>
      <c r="G326" s="4" t="str">
        <f>VLOOKUP($A326,'Institution Evaluation'!$A$56:$K$345,7,0)&amp;""</f>
        <v>Yes</v>
      </c>
      <c r="H326" s="4" t="str">
        <f>VLOOKUP($A326,'Institution Evaluation'!$A$56:$K$345,8,0)&amp;""</f>
        <v/>
      </c>
      <c r="I326" s="4" t="str">
        <f>VLOOKUP($A326,'Institution Evaluation'!$A$56:$K$345,9,0)&amp;""</f>
        <v>Minor Importance</v>
      </c>
      <c r="J326" s="4" t="str">
        <f>VLOOKUP($A326,'Institution Evaluation'!$A$56:$K$345,10,0)&amp;""</f>
        <v/>
      </c>
      <c r="K326" s="4">
        <f>IF($I326='Auto Responses'!$J$11,20,IF($I326='Auto Responses'!$J$13,5,10))</f>
        <v>5</v>
      </c>
      <c r="L326" s="107">
        <f>IF($E326='Auto Responses'!$L$13, 'Auto Responses'!$J$5,IF(AND($D326='Auto Responses'!$J$27,$H326=""),'Auto Responses'!$J$5,IF(AND($D326='Auto Responses'!$J$27,$H326='Auto Responses'!$J$7),1,IF(AND($D326='Auto Responses'!$J$27,$H326='Auto Responses'!$J$8),0,IF(OR(AND($F326=$G326,$H326=""),$H326='Auto Responses'!$J$7),1,0)))))</f>
        <v>0</v>
      </c>
      <c r="M326" s="4" t="str">
        <f>VLOOKUP($A326,'Institution Evaluation'!$A$56:$K$345,11,0)&amp;""</f>
        <v>FALSE</v>
      </c>
      <c r="N326" s="4">
        <f>IF($J326='Auto Responses'!$J$11,1,IF(AND($J326="",$I326='Auto Responses'!$J$11),1,0))</f>
        <v>0</v>
      </c>
      <c r="O326" s="107">
        <f>IF(OR($F$20='Auto Responses'!$J$4,$F$303='Auto Responses'!$J$4,$E326='Auto Responses'!$L$13,$F326='Auto Responses'!$J$5),'Auto Responses'!$J$5,IF($J326="",$K326,IF($J326='Auto Responses'!$J$13,5,IF($J326='Auto Responses'!$J$12,10,IF($J326='Auto Responses'!$J$11,20,0)))))</f>
        <v>5</v>
      </c>
      <c r="P326" s="107">
        <f>IF(OR($O326='Auto Responses'!$J$5,$L326='Auto Responses'!$J$5),'Auto Responses'!$J$5,$O326*$L326)</f>
        <v>0</v>
      </c>
      <c r="Q326" s="107">
        <f t="shared" si="39"/>
        <v>0</v>
      </c>
      <c r="R326" s="107">
        <f t="shared" si="44"/>
        <v>0</v>
      </c>
      <c r="S326" s="107">
        <f t="shared" si="40"/>
        <v>0</v>
      </c>
      <c r="T326" s="107">
        <f t="shared" si="41"/>
        <v>0</v>
      </c>
      <c r="U326" s="107">
        <f t="shared" si="45"/>
        <v>83</v>
      </c>
      <c r="V326" s="107">
        <f t="shared" si="42"/>
        <v>0</v>
      </c>
    </row>
    <row r="327" spans="1:23" ht="57" x14ac:dyDescent="0.2">
      <c r="A327" s="4" t="str">
        <f>Questions!$A327</f>
        <v>AIML-08</v>
      </c>
      <c r="B327" s="4" t="str">
        <f t="shared" si="43"/>
        <v>AIML</v>
      </c>
      <c r="C327" s="4" t="str">
        <f>VLOOKUP($A327,Questions!$A$3:$L$333,2,0)&amp;""</f>
        <v>Do you watermark your ML training data?</v>
      </c>
      <c r="D327" s="4" t="str">
        <f>VLOOKUP($A327,Questions!$A$3:$L$333,11,0)&amp;""</f>
        <v/>
      </c>
      <c r="E327" s="4" t="str">
        <f>VLOOKUP($A327,Questions!$A$3:$L$333,12,0)&amp;""</f>
        <v>AI</v>
      </c>
      <c r="F327" s="4" t="str">
        <f>VLOOKUP($A327,'Institution Evaluation'!$A$56:$K$345,3,0)&amp;""</f>
        <v/>
      </c>
      <c r="G327" s="4" t="str">
        <f>VLOOKUP($A327,'Institution Evaluation'!$A$56:$K$345,7,0)&amp;""</f>
        <v>Yes</v>
      </c>
      <c r="H327" s="4" t="str">
        <f>VLOOKUP($A327,'Institution Evaluation'!$A$56:$K$345,8,0)&amp;""</f>
        <v/>
      </c>
      <c r="I327" s="4" t="str">
        <f>VLOOKUP($A327,'Institution Evaluation'!$A$56:$K$345,9,0)&amp;""</f>
        <v>Minor Importance</v>
      </c>
      <c r="J327" s="4" t="str">
        <f>VLOOKUP($A327,'Institution Evaluation'!$A$56:$K$345,10,0)&amp;""</f>
        <v/>
      </c>
      <c r="K327" s="4">
        <f>IF($I327='Auto Responses'!$J$11,20,IF($I327='Auto Responses'!$J$13,5,10))</f>
        <v>5</v>
      </c>
      <c r="L327" s="107">
        <f>IF($E327='Auto Responses'!$L$13, 'Auto Responses'!$J$5,IF(AND($D327='Auto Responses'!$J$27,$H327=""),'Auto Responses'!$J$5,IF(AND($D327='Auto Responses'!$J$27,$H327='Auto Responses'!$J$7),1,IF(AND($D327='Auto Responses'!$J$27,$H327='Auto Responses'!$J$8),0,IF(OR(AND($F327=$G327,$H327=""),$H327='Auto Responses'!$J$7),1,0)))))</f>
        <v>0</v>
      </c>
      <c r="M327" s="4" t="str">
        <f>VLOOKUP($A327,'Institution Evaluation'!$A$56:$K$345,11,0)&amp;""</f>
        <v>FALSE</v>
      </c>
      <c r="N327" s="4">
        <f>IF($J327='Auto Responses'!$J$11,1,IF(AND($J327="",$I327='Auto Responses'!$J$11),1,0))</f>
        <v>0</v>
      </c>
      <c r="O327" s="107">
        <f>IF(OR($F$20='Auto Responses'!$J$4,$F$303='Auto Responses'!$J$4,$E327='Auto Responses'!$L$13,$F327='Auto Responses'!$J$5),'Auto Responses'!$J$5,IF($J327="",$K327,IF($J327='Auto Responses'!$J$13,5,IF($J327='Auto Responses'!$J$12,10,IF($J327='Auto Responses'!$J$11,20,0)))))</f>
        <v>5</v>
      </c>
      <c r="P327" s="107">
        <f>IF(OR($O327='Auto Responses'!$J$5,$L327='Auto Responses'!$J$5),'Auto Responses'!$J$5,$O327*$L327)</f>
        <v>0</v>
      </c>
      <c r="Q327" s="107">
        <f t="shared" si="39"/>
        <v>0</v>
      </c>
      <c r="R327" s="107">
        <f t="shared" si="44"/>
        <v>0</v>
      </c>
      <c r="S327" s="107">
        <f t="shared" si="40"/>
        <v>0</v>
      </c>
      <c r="T327" s="107">
        <f t="shared" si="41"/>
        <v>0</v>
      </c>
      <c r="U327" s="107">
        <f t="shared" si="45"/>
        <v>83</v>
      </c>
      <c r="V327" s="107">
        <f t="shared" si="42"/>
        <v>0</v>
      </c>
    </row>
    <row r="328" spans="1:23" ht="57" x14ac:dyDescent="0.2">
      <c r="A328" s="4" t="str">
        <f>Questions!$A328</f>
        <v>AILM-01</v>
      </c>
      <c r="B328" s="4" t="str">
        <f t="shared" si="43"/>
        <v>AILM</v>
      </c>
      <c r="C328" s="4" t="str">
        <f>VLOOKUP($A328,Questions!$A$3:$L$333,2,0)&amp;""</f>
        <v>Do you limit your solution's LLM privileges by default?*</v>
      </c>
      <c r="D328" s="4" t="str">
        <f>VLOOKUP($A328,Questions!$A$3:$L$333,11,0)&amp;""</f>
        <v/>
      </c>
      <c r="E328" s="4" t="str">
        <f>VLOOKUP($A328,Questions!$A$3:$L$333,12,0)&amp;""</f>
        <v>AI</v>
      </c>
      <c r="F328" s="4" t="str">
        <f>VLOOKUP($A328,'Institution Evaluation'!$A$56:$K$345,3,0)&amp;""</f>
        <v/>
      </c>
      <c r="G328" s="4" t="str">
        <f>VLOOKUP($A328,'Institution Evaluation'!$A$56:$K$345,7,0)&amp;""</f>
        <v>Yes</v>
      </c>
      <c r="H328" s="4" t="str">
        <f>VLOOKUP($A328,'Institution Evaluation'!$A$56:$K$345,8,0)&amp;""</f>
        <v/>
      </c>
      <c r="I328" s="4" t="str">
        <f>VLOOKUP($A328,'Institution Evaluation'!$A$56:$K$345,9,0)&amp;""</f>
        <v>Critical Importance</v>
      </c>
      <c r="J328" s="4" t="str">
        <f>VLOOKUP($A328,'Institution Evaluation'!$A$56:$K$345,10,0)&amp;""</f>
        <v/>
      </c>
      <c r="K328" s="4">
        <f>IF($I328='Auto Responses'!$J$11,20,IF($I328='Auto Responses'!$J$13,5,10))</f>
        <v>20</v>
      </c>
      <c r="L328" s="107">
        <f>IF($E328='Auto Responses'!$L$13, 'Auto Responses'!$J$5,IF(AND($D328='Auto Responses'!$J$27,$H328=""),'Auto Responses'!$J$5,IF(AND($D328='Auto Responses'!$J$27,$H328='Auto Responses'!$J$7),1,IF(AND($D328='Auto Responses'!$J$27,$H328='Auto Responses'!$J$8),0,IF(OR(AND($F328=$G328,$H328=""),$H328='Auto Responses'!$J$7),1,0)))))</f>
        <v>0</v>
      </c>
      <c r="M328" s="4" t="str">
        <f>VLOOKUP($A328,'Institution Evaluation'!$A$56:$K$345,11,0)&amp;""</f>
        <v>FALSE</v>
      </c>
      <c r="N328" s="4">
        <f>IF($J328='Auto Responses'!$J$11,1,IF(AND($J328="",$I328='Auto Responses'!$J$11),1,0))</f>
        <v>1</v>
      </c>
      <c r="O328" s="107">
        <f>IF(OR($F$20='Auto Responses'!$J$4,$F$304='Auto Responses'!$J$4,$E328='Auto Responses'!$L$13,$F328='Auto Responses'!$J$5),'Auto Responses'!$J$5,IF($J328="",$K328,IF($J328='Auto Responses'!$J$13,5,IF($J328='Auto Responses'!$J$12,10,IF($J328='Auto Responses'!$J$11,20,0)))))</f>
        <v>20</v>
      </c>
      <c r="P328" s="107">
        <f>IF(OR($O328='Auto Responses'!$J$5,$L328='Auto Responses'!$J$5),'Auto Responses'!$J$5,$O328*$L328)</f>
        <v>0</v>
      </c>
      <c r="Q328" s="107">
        <f t="shared" si="39"/>
        <v>0</v>
      </c>
      <c r="R328" s="107">
        <f t="shared" si="44"/>
        <v>0</v>
      </c>
      <c r="S328" s="107">
        <f t="shared" si="40"/>
        <v>0</v>
      </c>
      <c r="T328" s="107">
        <f t="shared" si="41"/>
        <v>1</v>
      </c>
      <c r="U328" s="107">
        <f t="shared" si="45"/>
        <v>84</v>
      </c>
      <c r="V328" s="107">
        <f t="shared" si="42"/>
        <v>84</v>
      </c>
    </row>
    <row r="329" spans="1:23" ht="57" x14ac:dyDescent="0.2">
      <c r="A329" s="4" t="str">
        <f>Questions!$A329</f>
        <v>AILM-02</v>
      </c>
      <c r="B329" s="4" t="str">
        <f t="shared" si="43"/>
        <v>AILM</v>
      </c>
      <c r="C329" s="4" t="str">
        <f>VLOOKUP($A329,Questions!$A$3:$L$333,2,0)&amp;""</f>
        <v>Is your LLM training data vetted, validated, and verified before training the solution's AI model?*</v>
      </c>
      <c r="D329" s="4" t="str">
        <f>VLOOKUP($A329,Questions!$A$3:$L$333,11,0)&amp;""</f>
        <v/>
      </c>
      <c r="E329" s="4" t="str">
        <f>VLOOKUP($A329,Questions!$A$3:$L$333,12,0)&amp;""</f>
        <v>AI</v>
      </c>
      <c r="F329" s="4" t="str">
        <f>VLOOKUP($A329,'Institution Evaluation'!$A$56:$K$345,3,0)&amp;""</f>
        <v/>
      </c>
      <c r="G329" s="4" t="str">
        <f>VLOOKUP($A329,'Institution Evaluation'!$A$56:$K$345,7,0)&amp;""</f>
        <v>Yes</v>
      </c>
      <c r="H329" s="4" t="str">
        <f>VLOOKUP($A329,'Institution Evaluation'!$A$56:$K$345,8,0)&amp;""</f>
        <v/>
      </c>
      <c r="I329" s="4" t="str">
        <f>VLOOKUP($A329,'Institution Evaluation'!$A$56:$K$345,9,0)&amp;""</f>
        <v>Critical Importance</v>
      </c>
      <c r="J329" s="4" t="str">
        <f>VLOOKUP($A329,'Institution Evaluation'!$A$56:$K$345,10,0)&amp;""</f>
        <v/>
      </c>
      <c r="K329" s="4">
        <f>IF($I329='Auto Responses'!$J$11,20,IF($I329='Auto Responses'!$J$13,5,10))</f>
        <v>20</v>
      </c>
      <c r="L329" s="107">
        <f>IF($E329='Auto Responses'!$L$13, 'Auto Responses'!$J$5,IF(AND($D329='Auto Responses'!$J$27,$H329=""),'Auto Responses'!$J$5,IF(AND($D329='Auto Responses'!$J$27,$H329='Auto Responses'!$J$7),1,IF(AND($D329='Auto Responses'!$J$27,$H329='Auto Responses'!$J$8),0,IF(OR(AND($F329=$G329,$H329=""),$H329='Auto Responses'!$J$7),1,0)))))</f>
        <v>0</v>
      </c>
      <c r="M329" s="4" t="str">
        <f>VLOOKUP($A329,'Institution Evaluation'!$A$56:$K$345,11,0)&amp;""</f>
        <v>FALSE</v>
      </c>
      <c r="N329" s="4">
        <f>IF($J329='Auto Responses'!$J$11,1,IF(AND($J329="",$I329='Auto Responses'!$J$11),1,0))</f>
        <v>1</v>
      </c>
      <c r="O329" s="107">
        <f>IF(OR($F$20='Auto Responses'!$J$4,$F$304='Auto Responses'!$J$4,$E329='Auto Responses'!$L$13,$F329='Auto Responses'!$J$5),'Auto Responses'!$J$5,IF($J329="",$K329,IF($J329='Auto Responses'!$J$13,5,IF($J329='Auto Responses'!$J$12,10,IF($J329='Auto Responses'!$J$11,20,0)))))</f>
        <v>20</v>
      </c>
      <c r="P329" s="107">
        <f>IF(OR($O329='Auto Responses'!$J$5,$L329='Auto Responses'!$J$5),'Auto Responses'!$J$5,$O329*$L329)</f>
        <v>0</v>
      </c>
      <c r="Q329" s="107">
        <f t="shared" si="39"/>
        <v>0</v>
      </c>
      <c r="R329" s="107">
        <f t="shared" si="44"/>
        <v>0</v>
      </c>
      <c r="S329" s="107">
        <f t="shared" si="40"/>
        <v>0</v>
      </c>
      <c r="T329" s="107">
        <f t="shared" si="41"/>
        <v>1</v>
      </c>
      <c r="U329" s="107">
        <f t="shared" si="45"/>
        <v>85</v>
      </c>
      <c r="V329" s="107">
        <f t="shared" si="42"/>
        <v>85</v>
      </c>
    </row>
    <row r="330" spans="1:23" ht="57" x14ac:dyDescent="0.2">
      <c r="A330" s="4" t="str">
        <f>Questions!$A330</f>
        <v>AILM-03</v>
      </c>
      <c r="B330" s="4" t="str">
        <f t="shared" si="43"/>
        <v>AILM</v>
      </c>
      <c r="C330" s="4" t="str">
        <f>VLOOKUP($A330,Questions!$A$3:$L$333,2,0)&amp;""</f>
        <v>Do any actions taken by your solution's LLM features or plugins require human intervention?*</v>
      </c>
      <c r="D330" s="4" t="str">
        <f>VLOOKUP($A330,Questions!$A$3:$L$333,11,0)&amp;""</f>
        <v/>
      </c>
      <c r="E330" s="4" t="str">
        <f>VLOOKUP($A330,Questions!$A$3:$L$333,12,0)&amp;""</f>
        <v>AI</v>
      </c>
      <c r="F330" s="4" t="str">
        <f>VLOOKUP($A330,'Institution Evaluation'!$A$56:$K$345,3,0)&amp;""</f>
        <v/>
      </c>
      <c r="G330" s="4" t="str">
        <f>VLOOKUP($A330,'Institution Evaluation'!$A$56:$K$345,7,0)&amp;""</f>
        <v>Yes</v>
      </c>
      <c r="H330" s="4" t="str">
        <f>VLOOKUP($A330,'Institution Evaluation'!$A$56:$K$345,8,0)&amp;""</f>
        <v/>
      </c>
      <c r="I330" s="4" t="str">
        <f>VLOOKUP($A330,'Institution Evaluation'!$A$56:$K$345,9,0)&amp;""</f>
        <v>Critical Importance</v>
      </c>
      <c r="J330" s="4" t="str">
        <f>VLOOKUP($A330,'Institution Evaluation'!$A$56:$K$345,10,0)&amp;""</f>
        <v/>
      </c>
      <c r="K330" s="4">
        <f>IF($I330='Auto Responses'!$J$11,20,IF($I330='Auto Responses'!$J$13,5,10))</f>
        <v>20</v>
      </c>
      <c r="L330" s="107">
        <f>IF($E330='Auto Responses'!$L$13, 'Auto Responses'!$J$5,IF(AND($D330='Auto Responses'!$J$27,$H330=""),'Auto Responses'!$J$5,IF(AND($D330='Auto Responses'!$J$27,$H330='Auto Responses'!$J$7),1,IF(AND($D330='Auto Responses'!$J$27,$H330='Auto Responses'!$J$8),0,IF(OR(AND($F330=$G330,$H330=""),$H330='Auto Responses'!$J$7),1,0)))))</f>
        <v>0</v>
      </c>
      <c r="M330" s="4" t="str">
        <f>VLOOKUP($A330,'Institution Evaluation'!$A$56:$K$345,11,0)&amp;""</f>
        <v>FALSE</v>
      </c>
      <c r="N330" s="4">
        <f>IF($J330='Auto Responses'!$J$11,1,IF(AND($J330="",$I330='Auto Responses'!$J$11),1,0))</f>
        <v>1</v>
      </c>
      <c r="O330" s="107">
        <f>IF(OR($F$20='Auto Responses'!$J$4,$F$304='Auto Responses'!$J$4,$E330='Auto Responses'!$L$13,$F330='Auto Responses'!$J$5),'Auto Responses'!$J$5,IF($J330="",$K330,IF($J330='Auto Responses'!$J$13,5,IF($J330='Auto Responses'!$J$12,10,IF($J330='Auto Responses'!$J$11,20,0)))))</f>
        <v>20</v>
      </c>
      <c r="P330" s="107">
        <f>IF(OR($O330='Auto Responses'!$J$5,$L330='Auto Responses'!$J$5),'Auto Responses'!$J$5,$O330*$L330)</f>
        <v>0</v>
      </c>
      <c r="Q330" s="107">
        <f t="shared" si="39"/>
        <v>0</v>
      </c>
      <c r="R330" s="107">
        <f t="shared" si="44"/>
        <v>0</v>
      </c>
      <c r="S330" s="107">
        <f t="shared" si="40"/>
        <v>0</v>
      </c>
      <c r="T330" s="107">
        <f t="shared" si="41"/>
        <v>1</v>
      </c>
      <c r="U330" s="107">
        <f t="shared" si="45"/>
        <v>86</v>
      </c>
      <c r="V330" s="107">
        <f t="shared" si="42"/>
        <v>86</v>
      </c>
    </row>
    <row r="331" spans="1:23" ht="57" x14ac:dyDescent="0.2">
      <c r="A331" s="4" t="str">
        <f>Questions!$A331</f>
        <v>AILM-04</v>
      </c>
      <c r="B331" s="4" t="str">
        <f t="shared" si="43"/>
        <v>AILM</v>
      </c>
      <c r="C331" s="4" t="str">
        <f>VLOOKUP($A331,Questions!$A$3:$L$333,2,0)&amp;""</f>
        <v>Do you limit multiple LLM model plugins being called as part of a single input?*</v>
      </c>
      <c r="D331" s="4" t="str">
        <f>VLOOKUP($A331,Questions!$A$3:$L$333,11,0)&amp;""</f>
        <v/>
      </c>
      <c r="E331" s="4" t="str">
        <f>VLOOKUP($A331,Questions!$A$3:$L$333,12,0)&amp;""</f>
        <v>AI</v>
      </c>
      <c r="F331" s="4" t="str">
        <f>VLOOKUP($A331,'Institution Evaluation'!$A$56:$K$345,3,0)&amp;""</f>
        <v/>
      </c>
      <c r="G331" s="4" t="str">
        <f>VLOOKUP($A331,'Institution Evaluation'!$A$56:$K$345,7,0)&amp;""</f>
        <v>Yes</v>
      </c>
      <c r="H331" s="4" t="str">
        <f>VLOOKUP($A331,'Institution Evaluation'!$A$56:$K$345,8,0)&amp;""</f>
        <v/>
      </c>
      <c r="I331" s="4" t="str">
        <f>VLOOKUP($A331,'Institution Evaluation'!$A$56:$K$345,9,0)&amp;""</f>
        <v>Critical Importance</v>
      </c>
      <c r="J331" s="4" t="str">
        <f>VLOOKUP($A331,'Institution Evaluation'!$A$56:$K$345,10,0)&amp;""</f>
        <v/>
      </c>
      <c r="K331" s="4">
        <f>IF($I331='Auto Responses'!$J$11,20,IF($I331='Auto Responses'!$J$13,5,10))</f>
        <v>20</v>
      </c>
      <c r="L331" s="107">
        <f>IF($E331='Auto Responses'!$L$13, 'Auto Responses'!$J$5,IF(AND($D331='Auto Responses'!$J$27,$H331=""),'Auto Responses'!$J$5,IF(AND($D331='Auto Responses'!$J$27,$H331='Auto Responses'!$J$7),1,IF(AND($D331='Auto Responses'!$J$27,$H331='Auto Responses'!$J$8),0,IF(OR(AND($F331=$G331,$H331=""),$H331='Auto Responses'!$J$7),1,0)))))</f>
        <v>0</v>
      </c>
      <c r="M331" s="4" t="str">
        <f>VLOOKUP($A331,'Institution Evaluation'!$A$56:$K$345,11,0)&amp;""</f>
        <v>FALSE</v>
      </c>
      <c r="N331" s="4">
        <f>IF($J331='Auto Responses'!$J$11,1,IF(AND($J331="",$I331='Auto Responses'!$J$11),1,0))</f>
        <v>1</v>
      </c>
      <c r="O331" s="107">
        <f>IF(OR($F$20='Auto Responses'!$J$4,$F$304='Auto Responses'!$J$4,$E331='Auto Responses'!$L$13,$F331='Auto Responses'!$J$5),'Auto Responses'!$J$5,IF($J331="",$K331,IF($J331='Auto Responses'!$J$13,5,IF($J331='Auto Responses'!$J$12,10,IF($J331='Auto Responses'!$J$11,20,0)))))</f>
        <v>20</v>
      </c>
      <c r="P331" s="107">
        <f>IF(OR($O331='Auto Responses'!$J$5,$L331='Auto Responses'!$J$5),'Auto Responses'!$J$5,$O331*$L331)</f>
        <v>0</v>
      </c>
      <c r="Q331" s="107">
        <f t="shared" si="39"/>
        <v>0</v>
      </c>
      <c r="R331" s="107">
        <f t="shared" si="44"/>
        <v>0</v>
      </c>
      <c r="S331" s="107">
        <f t="shared" si="40"/>
        <v>0</v>
      </c>
      <c r="T331" s="107">
        <f t="shared" si="41"/>
        <v>1</v>
      </c>
      <c r="U331" s="107">
        <f t="shared" si="45"/>
        <v>87</v>
      </c>
      <c r="V331" s="107">
        <f t="shared" si="42"/>
        <v>87</v>
      </c>
    </row>
    <row r="332" spans="1:23" ht="57" x14ac:dyDescent="0.2">
      <c r="A332" s="4" t="str">
        <f>Questions!$A332</f>
        <v>AILM-05</v>
      </c>
      <c r="B332" s="4" t="str">
        <f t="shared" si="43"/>
        <v>AILM</v>
      </c>
      <c r="C332" s="4" t="str">
        <f>VLOOKUP($A332,Questions!$A$3:$L$333,2,0)&amp;""</f>
        <v>Do you limit your solution's LLM resource use per request, per step, and per action?</v>
      </c>
      <c r="D332" s="4" t="str">
        <f>VLOOKUP($A332,Questions!$A$3:$L$333,11,0)&amp;""</f>
        <v/>
      </c>
      <c r="E332" s="4" t="str">
        <f>VLOOKUP($A332,Questions!$A$3:$L$333,12,0)&amp;""</f>
        <v>AI</v>
      </c>
      <c r="F332" s="4" t="str">
        <f>VLOOKUP($A332,'Institution Evaluation'!$A$56:$K$345,3,0)&amp;""</f>
        <v/>
      </c>
      <c r="G332" s="4" t="str">
        <f>VLOOKUP($A332,'Institution Evaluation'!$A$56:$K$345,7,0)&amp;""</f>
        <v>Yes</v>
      </c>
      <c r="H332" s="4" t="str">
        <f>VLOOKUP($A332,'Institution Evaluation'!$A$56:$K$345,8,0)&amp;""</f>
        <v/>
      </c>
      <c r="I332" s="4" t="str">
        <f>VLOOKUP($A332,'Institution Evaluation'!$A$56:$K$345,9,0)&amp;""</f>
        <v>Standard Importance</v>
      </c>
      <c r="J332" s="4" t="str">
        <f>VLOOKUP($A332,'Institution Evaluation'!$A$56:$K$345,10,0)&amp;""</f>
        <v/>
      </c>
      <c r="K332" s="4">
        <f>IF($I332='Auto Responses'!$J$11,20,IF($I332='Auto Responses'!$J$13,5,10))</f>
        <v>10</v>
      </c>
      <c r="L332" s="107">
        <f>IF($E332='Auto Responses'!$L$13, 'Auto Responses'!$J$5,IF(AND($D332='Auto Responses'!$J$27,$H332=""),'Auto Responses'!$J$5,IF(AND($D332='Auto Responses'!$J$27,$H332='Auto Responses'!$J$7),1,IF(AND($D332='Auto Responses'!$J$27,$H332='Auto Responses'!$J$8),0,IF(OR(AND($F332=$G332,$H332=""),$H332='Auto Responses'!$J$7),1,0)))))</f>
        <v>0</v>
      </c>
      <c r="M332" s="4" t="str">
        <f>VLOOKUP($A332,'Institution Evaluation'!$A$56:$K$345,11,0)&amp;""</f>
        <v>FALSE</v>
      </c>
      <c r="N332" s="4">
        <f>IF($J332='Auto Responses'!$J$11,1,IF(AND($J332="",$I332='Auto Responses'!$J$11),1,0))</f>
        <v>0</v>
      </c>
      <c r="O332" s="107">
        <f>IF(OR($F$20='Auto Responses'!$J$4,$F$304='Auto Responses'!$J$4,$E332='Auto Responses'!$L$13,$F332='Auto Responses'!$J$5),'Auto Responses'!$J$5,IF($J332="",$K332,IF($J332='Auto Responses'!$J$13,5,IF($J332='Auto Responses'!$J$12,10,IF($J332='Auto Responses'!$J$11,20,0)))))</f>
        <v>10</v>
      </c>
      <c r="P332" s="107">
        <f>IF(OR($O332='Auto Responses'!$J$5,$L332='Auto Responses'!$J$5),'Auto Responses'!$J$5,$O332*$L332)</f>
        <v>0</v>
      </c>
      <c r="Q332" s="107">
        <f t="shared" si="39"/>
        <v>0</v>
      </c>
      <c r="R332" s="107">
        <f t="shared" si="44"/>
        <v>0</v>
      </c>
      <c r="S332" s="107">
        <f t="shared" si="40"/>
        <v>0</v>
      </c>
      <c r="T332" s="107">
        <f t="shared" si="41"/>
        <v>0</v>
      </c>
      <c r="U332" s="107">
        <f t="shared" si="45"/>
        <v>87</v>
      </c>
      <c r="V332" s="107">
        <f t="shared" si="42"/>
        <v>0</v>
      </c>
    </row>
    <row r="333" spans="1:23" ht="36" customHeight="1" x14ac:dyDescent="0.2">
      <c r="A333" s="4" t="str">
        <f>Questions!$A333</f>
        <v>AILM-06</v>
      </c>
      <c r="B333" s="4" t="str">
        <f t="shared" si="43"/>
        <v>AILM</v>
      </c>
      <c r="C333" s="4" t="str">
        <f>VLOOKUP($A333,Questions!$A$3:$L$333,2,0)&amp;""</f>
        <v>Do you leverage LLM model tuning or other model validation mechanisms?</v>
      </c>
      <c r="D333" s="4" t="str">
        <f>VLOOKUP($A333,Questions!$A$3:$L$333,11,0)&amp;""</f>
        <v/>
      </c>
      <c r="E333" s="4" t="str">
        <f>VLOOKUP($A333,Questions!$A$3:$L$333,12,0)&amp;""</f>
        <v>AI</v>
      </c>
      <c r="F333" s="4" t="str">
        <f>VLOOKUP($A333,'Institution Evaluation'!$A$56:$K$345,3,0)&amp;""</f>
        <v/>
      </c>
      <c r="G333" s="4" t="str">
        <f>VLOOKUP($A333,'Institution Evaluation'!$A$56:$K$345,7,0)&amp;""</f>
        <v>Yes</v>
      </c>
      <c r="H333" s="4" t="str">
        <f>VLOOKUP($A333,'Institution Evaluation'!$A$56:$K$345,8,0)&amp;""</f>
        <v/>
      </c>
      <c r="I333" s="4" t="str">
        <f>VLOOKUP($A333,'Institution Evaluation'!$A$56:$K$345,9,0)&amp;""</f>
        <v>Standard Importance</v>
      </c>
      <c r="J333" s="4" t="str">
        <f>VLOOKUP($A333,'Institution Evaluation'!$A$56:$K$345,10,0)&amp;""</f>
        <v/>
      </c>
      <c r="K333" s="4">
        <f>IF($I333='Auto Responses'!$J$11,20,IF($I333='Auto Responses'!$J$13,5,10))</f>
        <v>10</v>
      </c>
      <c r="L333" s="107">
        <f>IF($E333='Auto Responses'!$L$13, 'Auto Responses'!$J$5,IF(AND($D333='Auto Responses'!$J$27,$H333=""),'Auto Responses'!$J$5,IF(AND($D333='Auto Responses'!$J$27,$H333='Auto Responses'!$J$7),1,IF(AND($D333='Auto Responses'!$J$27,$H333='Auto Responses'!$J$8),0,IF(OR(AND($F333=$G333,$H333=""),$H333='Auto Responses'!$J$7),1,0)))))</f>
        <v>0</v>
      </c>
      <c r="M333" s="4" t="str">
        <f>VLOOKUP($A333,'Institution Evaluation'!$A$56:$K$345,11,0)&amp;""</f>
        <v>FALSE</v>
      </c>
      <c r="N333" s="4">
        <f>IF($J333='Auto Responses'!$J$11,1,IF(AND($J333="",$I333='Auto Responses'!$J$11),1,0))</f>
        <v>0</v>
      </c>
      <c r="O333" s="107">
        <f>IF(OR($F$20='Auto Responses'!$J$4,$F$304='Auto Responses'!$J$4,$E333='Auto Responses'!$L$13,$F333='Auto Responses'!$J$5),'Auto Responses'!$J$5,IF($J333="",$K333,IF($J333='Auto Responses'!$J$13,5,IF($J333='Auto Responses'!$J$12,10,IF($J333='Auto Responses'!$J$11,20,0)))))</f>
        <v>10</v>
      </c>
      <c r="P333" s="107">
        <f>IF(OR($O333='Auto Responses'!$J$5,$L333='Auto Responses'!$J$5),'Auto Responses'!$J$5,$O333*$L333)</f>
        <v>0</v>
      </c>
      <c r="Q333" s="107">
        <f t="shared" si="39"/>
        <v>0</v>
      </c>
      <c r="R333" s="107">
        <f t="shared" si="44"/>
        <v>0</v>
      </c>
      <c r="S333" s="107">
        <f t="shared" si="40"/>
        <v>0</v>
      </c>
      <c r="T333" s="107">
        <f t="shared" si="41"/>
        <v>0</v>
      </c>
      <c r="U333" s="107">
        <f t="shared" si="45"/>
        <v>87</v>
      </c>
      <c r="V333" s="107">
        <f t="shared" si="42"/>
        <v>0</v>
      </c>
      <c r="W333" s="239" t="s">
        <v>1449</v>
      </c>
    </row>
    <row r="334" spans="1:23" ht="15.75" thickBot="1" x14ac:dyDescent="0.25">
      <c r="A334" s="3"/>
      <c r="B334" s="3"/>
      <c r="C334" s="3"/>
      <c r="D334" s="3"/>
      <c r="E334" s="3"/>
      <c r="F334" s="3"/>
      <c r="G334" s="3"/>
      <c r="H334" s="3"/>
      <c r="I334" s="3"/>
      <c r="J334" s="3"/>
      <c r="K334" s="3"/>
    </row>
    <row r="335" spans="1:23" ht="15.75" thickBot="1" x14ac:dyDescent="0.25">
      <c r="A335" s="3"/>
      <c r="B335" s="3"/>
      <c r="C335" s="3"/>
      <c r="D335" s="3"/>
      <c r="E335" s="3"/>
      <c r="F335" s="3"/>
      <c r="G335" s="3"/>
      <c r="H335" s="3"/>
      <c r="I335" s="3"/>
      <c r="J335" s="3"/>
      <c r="K335" s="3"/>
      <c r="Q335" s="160">
        <f>SUM($Q3:$Q334)</f>
        <v>0</v>
      </c>
      <c r="R335" s="161"/>
      <c r="S335" s="161"/>
      <c r="T335" s="162">
        <f>SUM($T3:$T334)</f>
        <v>87</v>
      </c>
    </row>
    <row r="336" spans="1:23" x14ac:dyDescent="0.2">
      <c r="A336" s="239" t="s">
        <v>1457</v>
      </c>
      <c r="B336" s="3"/>
      <c r="C336" s="3"/>
      <c r="D336" s="3"/>
      <c r="E336" s="3"/>
      <c r="F336" s="3"/>
      <c r="G336" s="3"/>
      <c r="H336" s="3"/>
      <c r="I336" s="3"/>
      <c r="J336" s="3"/>
      <c r="K336" s="3"/>
    </row>
    <row r="337" spans="1:11" hidden="1" x14ac:dyDescent="0.2">
      <c r="A337" s="3"/>
      <c r="B337" s="3"/>
      <c r="C337" s="3"/>
      <c r="D337" s="3"/>
      <c r="E337" s="3"/>
      <c r="F337" s="3"/>
      <c r="G337" s="3"/>
      <c r="H337" s="3"/>
      <c r="I337" s="3"/>
      <c r="J337" s="3"/>
      <c r="K337" s="3"/>
    </row>
    <row r="338" spans="1:11" hidden="1" x14ac:dyDescent="0.2">
      <c r="A338" s="3"/>
      <c r="B338" s="3"/>
      <c r="C338" s="3"/>
      <c r="D338" s="3"/>
      <c r="E338" s="3"/>
      <c r="F338" s="3"/>
      <c r="G338" s="3"/>
      <c r="H338" s="3"/>
      <c r="I338" s="3"/>
      <c r="J338" s="3"/>
      <c r="K338" s="3"/>
    </row>
    <row r="339" spans="1:11" hidden="1" x14ac:dyDescent="0.2">
      <c r="A339" s="3"/>
      <c r="B339" s="3"/>
      <c r="C339" s="3"/>
      <c r="D339" s="3"/>
      <c r="E339" s="3"/>
      <c r="F339" s="3"/>
      <c r="G339" s="3"/>
      <c r="H339" s="3"/>
      <c r="I339" s="3"/>
      <c r="J339" s="3"/>
      <c r="K339" s="3"/>
    </row>
    <row r="340" spans="1:11" hidden="1" x14ac:dyDescent="0.2">
      <c r="A340" s="3"/>
      <c r="B340" s="3"/>
      <c r="C340" s="3"/>
      <c r="D340" s="3"/>
      <c r="E340" s="3"/>
      <c r="F340" s="3"/>
      <c r="G340" s="3"/>
      <c r="H340" s="3"/>
      <c r="I340" s="3"/>
      <c r="J340" s="3"/>
      <c r="K340" s="3"/>
    </row>
    <row r="341" spans="1:11" hidden="1" x14ac:dyDescent="0.2">
      <c r="A341" s="3"/>
      <c r="B341" s="3"/>
      <c r="C341" s="3"/>
      <c r="D341" s="3"/>
      <c r="E341" s="3"/>
      <c r="F341" s="3"/>
      <c r="G341" s="3"/>
      <c r="H341" s="3"/>
      <c r="I341" s="3"/>
      <c r="J341" s="3"/>
      <c r="K341" s="3"/>
    </row>
    <row r="342" spans="1:11" hidden="1" x14ac:dyDescent="0.2">
      <c r="A342" s="3"/>
      <c r="B342" s="3"/>
      <c r="C342" s="3"/>
      <c r="D342" s="3"/>
      <c r="E342" s="3"/>
      <c r="F342" s="3"/>
      <c r="G342" s="3"/>
      <c r="H342" s="3"/>
      <c r="I342" s="3"/>
      <c r="J342" s="3"/>
      <c r="K342" s="3"/>
    </row>
    <row r="343" spans="1:11" hidden="1" x14ac:dyDescent="0.2">
      <c r="A343" s="3"/>
      <c r="B343" s="3"/>
      <c r="C343" s="3"/>
      <c r="D343" s="3"/>
      <c r="E343" s="3"/>
      <c r="F343" s="3"/>
      <c r="G343" s="3"/>
      <c r="H343" s="3"/>
      <c r="I343" s="3"/>
      <c r="J343" s="3"/>
      <c r="K343" s="3"/>
    </row>
    <row r="344" spans="1:11" hidden="1" x14ac:dyDescent="0.2">
      <c r="A344" s="3"/>
      <c r="B344" s="3"/>
      <c r="C344" s="3"/>
      <c r="D344" s="3"/>
      <c r="E344" s="3"/>
      <c r="F344" s="3"/>
      <c r="G344" s="3"/>
      <c r="H344" s="3"/>
      <c r="I344" s="3"/>
      <c r="J344" s="3"/>
      <c r="K344" s="3"/>
    </row>
    <row r="345" spans="1:11" hidden="1" x14ac:dyDescent="0.2">
      <c r="A345" s="3"/>
      <c r="B345" s="3"/>
      <c r="C345" s="3"/>
      <c r="D345" s="3"/>
      <c r="E345" s="3"/>
      <c r="F345" s="3"/>
      <c r="G345" s="3"/>
      <c r="H345" s="3"/>
      <c r="I345" s="3"/>
      <c r="J345" s="3"/>
      <c r="K345" s="3"/>
    </row>
    <row r="346" spans="1:11" hidden="1" x14ac:dyDescent="0.2">
      <c r="A346" s="3"/>
      <c r="B346" s="3"/>
      <c r="C346" s="3"/>
      <c r="D346" s="3"/>
      <c r="E346" s="3"/>
      <c r="F346" s="3"/>
      <c r="G346" s="3"/>
      <c r="H346" s="3"/>
      <c r="I346" s="3"/>
      <c r="J346" s="3"/>
      <c r="K346" s="3"/>
    </row>
    <row r="347" spans="1:11" hidden="1" x14ac:dyDescent="0.2">
      <c r="A347" s="3"/>
      <c r="B347" s="3"/>
      <c r="C347" s="3"/>
      <c r="D347" s="3"/>
      <c r="E347" s="3"/>
      <c r="F347" s="3"/>
      <c r="G347" s="3"/>
      <c r="H347" s="3"/>
      <c r="I347" s="3"/>
      <c r="J347" s="3"/>
      <c r="K347" s="3"/>
    </row>
    <row r="348" spans="1:11" hidden="1" x14ac:dyDescent="0.2">
      <c r="A348" s="3"/>
      <c r="B348" s="3"/>
      <c r="C348" s="3"/>
      <c r="D348" s="3"/>
      <c r="E348" s="3"/>
      <c r="F348" s="3"/>
      <c r="G348" s="3"/>
      <c r="H348" s="3"/>
      <c r="I348" s="3"/>
      <c r="J348" s="3"/>
      <c r="K348" s="3"/>
    </row>
    <row r="349" spans="1:11" hidden="1" x14ac:dyDescent="0.2">
      <c r="A349" s="3"/>
      <c r="B349" s="3"/>
      <c r="C349" s="3"/>
      <c r="D349" s="3"/>
      <c r="E349" s="3"/>
      <c r="F349" s="3"/>
      <c r="G349" s="3"/>
      <c r="H349" s="3"/>
      <c r="I349" s="3"/>
      <c r="J349" s="3"/>
      <c r="K349" s="3"/>
    </row>
    <row r="350" spans="1:11" hidden="1" x14ac:dyDescent="0.2">
      <c r="A350" s="3"/>
      <c r="B350" s="3"/>
      <c r="C350" s="3"/>
      <c r="D350" s="3"/>
      <c r="E350" s="3"/>
      <c r="F350" s="3"/>
      <c r="G350" s="3"/>
      <c r="H350" s="3"/>
      <c r="I350" s="3"/>
      <c r="J350" s="3"/>
      <c r="K350" s="3"/>
    </row>
    <row r="351" spans="1:11" hidden="1" x14ac:dyDescent="0.2">
      <c r="A351" s="3"/>
      <c r="B351" s="3"/>
      <c r="C351" s="3"/>
      <c r="D351" s="3"/>
      <c r="E351" s="3"/>
      <c r="F351" s="3"/>
      <c r="G351" s="3"/>
      <c r="H351" s="3"/>
      <c r="I351" s="3"/>
      <c r="J351" s="3"/>
      <c r="K351" s="3"/>
    </row>
    <row r="352" spans="1:11" hidden="1" x14ac:dyDescent="0.2">
      <c r="A352" s="3"/>
      <c r="B352" s="3"/>
      <c r="C352" s="3"/>
      <c r="D352" s="3"/>
      <c r="E352" s="3"/>
      <c r="F352" s="3"/>
      <c r="G352" s="3"/>
      <c r="H352" s="3"/>
      <c r="I352" s="3"/>
      <c r="J352" s="3"/>
      <c r="K352" s="3"/>
    </row>
    <row r="353" spans="1:11" hidden="1" x14ac:dyDescent="0.2">
      <c r="A353" s="3"/>
      <c r="B353" s="3"/>
      <c r="C353" s="3"/>
      <c r="D353" s="3"/>
      <c r="E353" s="3"/>
      <c r="F353" s="3"/>
      <c r="G353" s="3"/>
      <c r="H353" s="3"/>
      <c r="I353" s="3"/>
      <c r="J353" s="3"/>
      <c r="K353" s="3"/>
    </row>
    <row r="354" spans="1:11" hidden="1" x14ac:dyDescent="0.2">
      <c r="A354" s="3"/>
      <c r="B354" s="3"/>
      <c r="C354" s="3"/>
      <c r="D354" s="3"/>
      <c r="E354" s="3"/>
      <c r="F354" s="3"/>
      <c r="G354" s="3"/>
      <c r="H354" s="3"/>
      <c r="I354" s="3"/>
      <c r="J354" s="3"/>
      <c r="K354" s="3"/>
    </row>
    <row r="355" spans="1:11" hidden="1" x14ac:dyDescent="0.2">
      <c r="A355" s="3"/>
      <c r="B355" s="3"/>
      <c r="C355" s="3"/>
      <c r="D355" s="3"/>
      <c r="E355" s="3"/>
      <c r="F355" s="3"/>
      <c r="G355" s="3"/>
      <c r="H355" s="3"/>
      <c r="I355" s="3"/>
      <c r="J355" s="3"/>
      <c r="K355" s="3"/>
    </row>
    <row r="356" spans="1:11" hidden="1" x14ac:dyDescent="0.2">
      <c r="A356" s="3"/>
      <c r="B356" s="3"/>
      <c r="C356" s="3"/>
      <c r="D356" s="3"/>
      <c r="E356" s="3"/>
      <c r="F356" s="3"/>
      <c r="G356" s="3"/>
      <c r="H356" s="3"/>
      <c r="I356" s="3"/>
      <c r="J356" s="3"/>
      <c r="K356" s="3"/>
    </row>
    <row r="357" spans="1:11" hidden="1" x14ac:dyDescent="0.2">
      <c r="A357" s="3"/>
      <c r="B357" s="3"/>
      <c r="C357" s="3"/>
      <c r="D357" s="3"/>
      <c r="E357" s="3"/>
      <c r="F357" s="3"/>
      <c r="G357" s="3"/>
      <c r="H357" s="3"/>
      <c r="I357" s="3"/>
      <c r="J357" s="3"/>
      <c r="K357" s="3"/>
    </row>
    <row r="358" spans="1:11" hidden="1" x14ac:dyDescent="0.2">
      <c r="A358" s="3"/>
      <c r="B358" s="3"/>
      <c r="C358" s="3"/>
      <c r="D358" s="3"/>
      <c r="E358" s="3"/>
      <c r="F358" s="3"/>
      <c r="G358" s="3"/>
      <c r="H358" s="3"/>
      <c r="I358" s="3"/>
      <c r="J358" s="3"/>
      <c r="K358" s="3"/>
    </row>
    <row r="359" spans="1:11" hidden="1" x14ac:dyDescent="0.2">
      <c r="A359" s="3"/>
      <c r="B359" s="3"/>
      <c r="C359" s="3"/>
      <c r="D359" s="3"/>
      <c r="E359" s="3"/>
      <c r="F359" s="3"/>
      <c r="G359" s="3"/>
      <c r="H359" s="3"/>
      <c r="I359" s="3"/>
      <c r="J359" s="3"/>
      <c r="K359" s="3"/>
    </row>
    <row r="360" spans="1:11" hidden="1" x14ac:dyDescent="0.2">
      <c r="A360" s="3"/>
      <c r="B360" s="3"/>
      <c r="C360" s="3"/>
      <c r="D360" s="3"/>
      <c r="E360" s="3"/>
      <c r="F360" s="3"/>
      <c r="G360" s="3"/>
      <c r="H360" s="3"/>
      <c r="I360" s="3"/>
      <c r="J360" s="3"/>
      <c r="K360" s="3"/>
    </row>
    <row r="361" spans="1:11" hidden="1" x14ac:dyDescent="0.2">
      <c r="A361" s="3"/>
      <c r="B361" s="3"/>
      <c r="C361" s="3"/>
      <c r="D361" s="3"/>
      <c r="E361" s="3"/>
      <c r="F361" s="3"/>
      <c r="G361" s="3"/>
      <c r="H361" s="3"/>
      <c r="I361" s="3"/>
      <c r="J361" s="3"/>
      <c r="K361" s="3"/>
    </row>
    <row r="362" spans="1:11" hidden="1" x14ac:dyDescent="0.2">
      <c r="A362" s="3"/>
      <c r="B362" s="3"/>
      <c r="C362" s="3"/>
      <c r="D362" s="3"/>
      <c r="E362" s="3"/>
      <c r="F362" s="3"/>
      <c r="G362" s="3"/>
      <c r="H362" s="3"/>
      <c r="I362" s="3"/>
      <c r="J362" s="3"/>
      <c r="K362" s="3"/>
    </row>
    <row r="363" spans="1:11" hidden="1" x14ac:dyDescent="0.2">
      <c r="A363" s="3"/>
      <c r="B363" s="3"/>
      <c r="C363" s="3"/>
      <c r="D363" s="3"/>
      <c r="E363" s="3"/>
      <c r="F363" s="3"/>
      <c r="G363" s="3"/>
      <c r="H363" s="3"/>
      <c r="I363" s="3"/>
      <c r="J363" s="3"/>
      <c r="K363" s="3"/>
    </row>
    <row r="364" spans="1:11" hidden="1" x14ac:dyDescent="0.2">
      <c r="A364" s="3"/>
      <c r="B364" s="3"/>
      <c r="C364" s="3"/>
      <c r="D364" s="3"/>
      <c r="E364" s="3"/>
      <c r="F364" s="3"/>
      <c r="G364" s="3"/>
      <c r="H364" s="3"/>
      <c r="I364" s="3"/>
      <c r="J364" s="3"/>
      <c r="K364" s="3"/>
    </row>
    <row r="365" spans="1:11" hidden="1" x14ac:dyDescent="0.2">
      <c r="A365" s="3"/>
      <c r="B365" s="3"/>
      <c r="C365" s="3"/>
      <c r="D365" s="3"/>
      <c r="E365" s="3"/>
      <c r="F365" s="3"/>
      <c r="G365" s="3"/>
      <c r="H365" s="3"/>
      <c r="I365" s="3"/>
      <c r="J365" s="3"/>
      <c r="K365" s="3"/>
    </row>
    <row r="366" spans="1:11" hidden="1" x14ac:dyDescent="0.2">
      <c r="A366" s="3"/>
      <c r="B366" s="3"/>
      <c r="C366" s="3"/>
      <c r="D366" s="3"/>
      <c r="E366" s="3"/>
      <c r="F366" s="3"/>
      <c r="G366" s="3"/>
      <c r="H366" s="3"/>
      <c r="I366" s="3"/>
      <c r="J366" s="3"/>
      <c r="K366" s="3"/>
    </row>
    <row r="367" spans="1:11" hidden="1" x14ac:dyDescent="0.2">
      <c r="A367" s="3"/>
      <c r="B367" s="3"/>
      <c r="C367" s="3"/>
      <c r="D367" s="3"/>
      <c r="E367" s="3"/>
      <c r="F367" s="3"/>
      <c r="G367" s="3"/>
      <c r="H367" s="3"/>
      <c r="I367" s="3"/>
      <c r="J367" s="3"/>
      <c r="K367" s="3"/>
    </row>
    <row r="368" spans="1:11" hidden="1" x14ac:dyDescent="0.2">
      <c r="A368" s="3"/>
      <c r="B368" s="3"/>
      <c r="C368" s="3"/>
      <c r="D368" s="3"/>
      <c r="E368" s="3"/>
      <c r="F368" s="3"/>
      <c r="G368" s="3"/>
      <c r="H368" s="3"/>
      <c r="I368" s="3"/>
      <c r="J368" s="3"/>
      <c r="K368" s="3"/>
    </row>
    <row r="369" spans="1:11" hidden="1" x14ac:dyDescent="0.2">
      <c r="A369" s="3"/>
      <c r="B369" s="3"/>
      <c r="C369" s="3"/>
      <c r="D369" s="3"/>
      <c r="E369" s="3"/>
      <c r="F369" s="3"/>
      <c r="G369" s="3"/>
      <c r="H369" s="3"/>
      <c r="I369" s="3"/>
      <c r="J369" s="3"/>
      <c r="K369" s="3"/>
    </row>
    <row r="370" spans="1:11" hidden="1" x14ac:dyDescent="0.2">
      <c r="A370" s="3"/>
      <c r="B370" s="3"/>
      <c r="C370" s="3"/>
      <c r="D370" s="3"/>
      <c r="E370" s="3"/>
      <c r="F370" s="3"/>
      <c r="G370" s="3"/>
      <c r="H370" s="3"/>
      <c r="I370" s="3"/>
      <c r="J370" s="3"/>
      <c r="K370" s="3"/>
    </row>
    <row r="371" spans="1:11" hidden="1" x14ac:dyDescent="0.2">
      <c r="A371" s="3"/>
      <c r="B371" s="3"/>
      <c r="C371" s="3"/>
      <c r="D371" s="3"/>
      <c r="E371" s="3"/>
      <c r="F371" s="3"/>
      <c r="G371" s="3"/>
      <c r="H371" s="3"/>
      <c r="I371" s="3"/>
      <c r="J371" s="3"/>
      <c r="K371" s="3"/>
    </row>
    <row r="372" spans="1:11" hidden="1" x14ac:dyDescent="0.2">
      <c r="A372" s="3"/>
      <c r="B372" s="3"/>
      <c r="C372" s="3"/>
      <c r="D372" s="3"/>
      <c r="E372" s="3"/>
      <c r="F372" s="3"/>
      <c r="G372" s="3"/>
      <c r="H372" s="3"/>
      <c r="I372" s="3"/>
      <c r="J372" s="3"/>
      <c r="K372" s="3"/>
    </row>
    <row r="373" spans="1:11" hidden="1" x14ac:dyDescent="0.2">
      <c r="A373" s="3"/>
      <c r="B373" s="3"/>
      <c r="C373" s="3"/>
      <c r="D373" s="3"/>
      <c r="E373" s="3"/>
      <c r="F373" s="3"/>
      <c r="G373" s="3"/>
      <c r="H373" s="3"/>
      <c r="I373" s="3"/>
      <c r="J373" s="3"/>
      <c r="K373" s="3"/>
    </row>
    <row r="374" spans="1:11" hidden="1" x14ac:dyDescent="0.2">
      <c r="A374" s="3"/>
      <c r="B374" s="3"/>
      <c r="C374" s="3"/>
      <c r="D374" s="3"/>
      <c r="E374" s="3"/>
      <c r="F374" s="3"/>
      <c r="G374" s="3"/>
      <c r="H374" s="3"/>
      <c r="I374" s="3"/>
      <c r="J374" s="3"/>
      <c r="K374" s="3"/>
    </row>
    <row r="375" spans="1:11" hidden="1" x14ac:dyDescent="0.2">
      <c r="A375" s="3"/>
      <c r="B375" s="3"/>
      <c r="C375" s="3"/>
      <c r="D375" s="3"/>
      <c r="E375" s="3"/>
      <c r="F375" s="3"/>
      <c r="G375" s="3"/>
      <c r="H375" s="3"/>
      <c r="I375" s="3"/>
      <c r="J375" s="3"/>
      <c r="K375" s="3"/>
    </row>
    <row r="376" spans="1:11" hidden="1" x14ac:dyDescent="0.2">
      <c r="A376" s="3"/>
      <c r="B376" s="3"/>
      <c r="C376" s="3"/>
      <c r="D376" s="3"/>
      <c r="E376" s="3"/>
      <c r="F376" s="3"/>
      <c r="G376" s="3"/>
      <c r="H376" s="3"/>
      <c r="I376" s="3"/>
      <c r="J376" s="3"/>
      <c r="K376" s="3"/>
    </row>
    <row r="377" spans="1:11" hidden="1" x14ac:dyDescent="0.2">
      <c r="A377" s="3"/>
      <c r="B377" s="3"/>
      <c r="C377" s="3"/>
      <c r="D377" s="3"/>
      <c r="E377" s="3"/>
      <c r="F377" s="3"/>
      <c r="G377" s="3"/>
      <c r="H377" s="3"/>
      <c r="I377" s="3"/>
      <c r="J377" s="3"/>
      <c r="K377" s="3"/>
    </row>
    <row r="378" spans="1:11" hidden="1" x14ac:dyDescent="0.2">
      <c r="A378" s="3"/>
      <c r="B378" s="3"/>
      <c r="C378" s="3"/>
      <c r="D378" s="3"/>
      <c r="E378" s="3"/>
      <c r="F378" s="3"/>
      <c r="G378" s="3"/>
      <c r="H378" s="3"/>
      <c r="I378" s="3"/>
      <c r="J378" s="3"/>
      <c r="K378" s="3"/>
    </row>
    <row r="379" spans="1:11" hidden="1" x14ac:dyDescent="0.2">
      <c r="A379" s="3"/>
      <c r="B379" s="3"/>
      <c r="C379" s="3"/>
      <c r="D379" s="3"/>
      <c r="E379" s="3"/>
      <c r="F379" s="3"/>
      <c r="G379" s="3"/>
      <c r="H379" s="3"/>
      <c r="I379" s="3"/>
      <c r="J379" s="3"/>
      <c r="K379" s="3"/>
    </row>
    <row r="380" spans="1:11" hidden="1" x14ac:dyDescent="0.2">
      <c r="A380" s="3"/>
      <c r="B380" s="3"/>
      <c r="C380" s="3"/>
      <c r="D380" s="3"/>
      <c r="E380" s="3"/>
      <c r="F380" s="3"/>
      <c r="G380" s="3"/>
      <c r="H380" s="3"/>
      <c r="I380" s="3"/>
      <c r="J380" s="3"/>
      <c r="K380" s="3"/>
    </row>
    <row r="381" spans="1:11" hidden="1" x14ac:dyDescent="0.2">
      <c r="A381" s="3"/>
      <c r="B381" s="3"/>
      <c r="C381" s="3"/>
      <c r="D381" s="3"/>
      <c r="E381" s="3"/>
      <c r="F381" s="3"/>
      <c r="G381" s="3"/>
      <c r="H381" s="3"/>
      <c r="I381" s="3"/>
      <c r="J381" s="3"/>
      <c r="K381" s="3"/>
    </row>
    <row r="382" spans="1:11" hidden="1" x14ac:dyDescent="0.2">
      <c r="A382" s="3"/>
      <c r="B382" s="3"/>
      <c r="C382" s="3"/>
      <c r="D382" s="3"/>
      <c r="E382" s="3"/>
      <c r="F382" s="3"/>
      <c r="G382" s="3"/>
      <c r="H382" s="3"/>
      <c r="I382" s="3"/>
      <c r="J382" s="3"/>
      <c r="K382" s="3"/>
    </row>
    <row r="383" spans="1:11" hidden="1" x14ac:dyDescent="0.2">
      <c r="A383" s="3"/>
      <c r="B383" s="3"/>
      <c r="C383" s="3"/>
      <c r="D383" s="3"/>
      <c r="E383" s="3"/>
      <c r="F383" s="3"/>
      <c r="G383" s="3"/>
      <c r="H383" s="3"/>
      <c r="I383" s="3"/>
      <c r="J383" s="3"/>
      <c r="K383" s="3"/>
    </row>
    <row r="384" spans="1:11" hidden="1" x14ac:dyDescent="0.2">
      <c r="A384" s="3"/>
      <c r="B384" s="3"/>
      <c r="C384" s="3"/>
      <c r="D384" s="3"/>
      <c r="E384" s="3"/>
      <c r="F384" s="3"/>
      <c r="G384" s="3"/>
      <c r="H384" s="3"/>
      <c r="I384" s="3"/>
      <c r="J384" s="3"/>
      <c r="K384" s="3"/>
    </row>
    <row r="385" spans="1:11" hidden="1" x14ac:dyDescent="0.2">
      <c r="A385" s="3"/>
      <c r="B385" s="3"/>
      <c r="C385" s="3"/>
      <c r="D385" s="3"/>
      <c r="E385" s="3"/>
      <c r="F385" s="3"/>
      <c r="G385" s="3"/>
      <c r="H385" s="3"/>
      <c r="I385" s="3"/>
      <c r="J385" s="3"/>
      <c r="K385" s="3"/>
    </row>
    <row r="386" spans="1:11" hidden="1" x14ac:dyDescent="0.2">
      <c r="A386" s="3"/>
      <c r="B386" s="3"/>
      <c r="C386" s="3"/>
      <c r="D386" s="3"/>
      <c r="E386" s="3"/>
      <c r="F386" s="3"/>
      <c r="G386" s="3"/>
      <c r="H386" s="3"/>
      <c r="I386" s="3"/>
      <c r="J386" s="3"/>
      <c r="K386" s="3"/>
    </row>
    <row r="387" spans="1:11" hidden="1" x14ac:dyDescent="0.2">
      <c r="A387" s="3"/>
      <c r="B387" s="3"/>
      <c r="C387" s="3"/>
      <c r="D387" s="3"/>
      <c r="E387" s="3"/>
      <c r="F387" s="3"/>
      <c r="G387" s="3"/>
      <c r="H387" s="3"/>
      <c r="I387" s="3"/>
      <c r="J387" s="3"/>
      <c r="K387" s="3"/>
    </row>
    <row r="388" spans="1:11" hidden="1" x14ac:dyDescent="0.2">
      <c r="A388" s="3"/>
      <c r="B388" s="3"/>
      <c r="C388" s="3"/>
      <c r="D388" s="3"/>
      <c r="E388" s="3"/>
      <c r="F388" s="3"/>
      <c r="G388" s="3"/>
      <c r="H388" s="3"/>
      <c r="I388" s="3"/>
      <c r="J388" s="3"/>
      <c r="K388" s="3"/>
    </row>
    <row r="389" spans="1:11" hidden="1" x14ac:dyDescent="0.2">
      <c r="A389" s="3"/>
      <c r="B389" s="3"/>
      <c r="C389" s="3"/>
      <c r="D389" s="3"/>
      <c r="E389" s="3"/>
      <c r="F389" s="3"/>
      <c r="G389" s="3"/>
      <c r="H389" s="3"/>
      <c r="I389" s="3"/>
      <c r="J389" s="3"/>
      <c r="K389" s="3"/>
    </row>
    <row r="390" spans="1:11" hidden="1" x14ac:dyDescent="0.2">
      <c r="A390" s="3"/>
      <c r="B390" s="3"/>
      <c r="C390" s="3"/>
      <c r="D390" s="3"/>
      <c r="E390" s="3"/>
      <c r="F390" s="3"/>
      <c r="G390" s="3"/>
      <c r="H390" s="3"/>
      <c r="I390" s="3"/>
      <c r="J390" s="3"/>
      <c r="K390" s="3"/>
    </row>
    <row r="391" spans="1:11" hidden="1" x14ac:dyDescent="0.2">
      <c r="A391" s="3"/>
      <c r="B391" s="3"/>
      <c r="C391" s="3"/>
      <c r="D391" s="3"/>
      <c r="E391" s="3"/>
      <c r="F391" s="3"/>
      <c r="G391" s="3"/>
      <c r="H391" s="3"/>
      <c r="I391" s="3"/>
      <c r="J391" s="3"/>
      <c r="K391" s="3"/>
    </row>
    <row r="392" spans="1:11" hidden="1" x14ac:dyDescent="0.2">
      <c r="A392" s="3"/>
      <c r="B392" s="3"/>
      <c r="C392" s="3"/>
      <c r="D392" s="3"/>
      <c r="E392" s="3"/>
      <c r="F392" s="3"/>
      <c r="G392" s="3"/>
      <c r="H392" s="3"/>
      <c r="I392" s="3"/>
      <c r="J392" s="3"/>
      <c r="K392" s="3"/>
    </row>
    <row r="393" spans="1:11" hidden="1" x14ac:dyDescent="0.2">
      <c r="A393" s="3"/>
      <c r="B393" s="3"/>
      <c r="C393" s="3"/>
      <c r="D393" s="3"/>
      <c r="E393" s="3"/>
      <c r="F393" s="3"/>
      <c r="G393" s="3"/>
      <c r="H393" s="3"/>
      <c r="I393" s="3"/>
      <c r="J393" s="3"/>
      <c r="K393" s="3"/>
    </row>
    <row r="394" spans="1:11" hidden="1" x14ac:dyDescent="0.2">
      <c r="A394" s="3"/>
      <c r="B394" s="3"/>
      <c r="C394" s="3"/>
      <c r="D394" s="3"/>
      <c r="E394" s="3"/>
      <c r="F394" s="3"/>
      <c r="G394" s="3"/>
      <c r="H394" s="3"/>
      <c r="I394" s="3"/>
      <c r="J394" s="3"/>
      <c r="K394" s="3"/>
    </row>
    <row r="395" spans="1:11" hidden="1" x14ac:dyDescent="0.2">
      <c r="A395" s="3"/>
      <c r="B395" s="3"/>
      <c r="C395" s="3"/>
      <c r="D395" s="3"/>
      <c r="E395" s="3"/>
      <c r="F395" s="3"/>
      <c r="G395" s="3"/>
      <c r="H395" s="3"/>
      <c r="I395" s="3"/>
      <c r="J395" s="3"/>
      <c r="K395" s="3"/>
    </row>
    <row r="396" spans="1:11" hidden="1" x14ac:dyDescent="0.2">
      <c r="A396" s="3"/>
      <c r="B396" s="3"/>
      <c r="C396" s="3"/>
      <c r="D396" s="3"/>
      <c r="E396" s="3"/>
      <c r="F396" s="3"/>
      <c r="G396" s="3"/>
      <c r="H396" s="3"/>
      <c r="I396" s="3"/>
      <c r="J396" s="3"/>
      <c r="K396" s="3"/>
    </row>
    <row r="397" spans="1:11" hidden="1" x14ac:dyDescent="0.2">
      <c r="A397" s="3"/>
      <c r="B397" s="3"/>
      <c r="C397" s="3"/>
      <c r="D397" s="3"/>
      <c r="E397" s="3"/>
      <c r="F397" s="3"/>
      <c r="G397" s="3"/>
      <c r="H397" s="3"/>
      <c r="I397" s="3"/>
      <c r="J397" s="3"/>
      <c r="K397" s="3"/>
    </row>
    <row r="398" spans="1:11" hidden="1" x14ac:dyDescent="0.2">
      <c r="A398" s="3"/>
      <c r="B398" s="3"/>
      <c r="C398" s="3"/>
      <c r="D398" s="3"/>
      <c r="E398" s="3"/>
      <c r="F398" s="3"/>
      <c r="G398" s="3"/>
      <c r="H398" s="3"/>
      <c r="I398" s="3"/>
      <c r="J398" s="3"/>
      <c r="K398" s="3"/>
    </row>
    <row r="399" spans="1:11" hidden="1" x14ac:dyDescent="0.2">
      <c r="A399" s="3"/>
      <c r="B399" s="3"/>
      <c r="C399" s="3"/>
      <c r="D399" s="3"/>
      <c r="E399" s="3"/>
      <c r="F399" s="3"/>
      <c r="G399" s="3"/>
      <c r="H399" s="3"/>
      <c r="I399" s="3"/>
      <c r="J399" s="3"/>
      <c r="K399" s="3"/>
    </row>
    <row r="400" spans="1:11" hidden="1" x14ac:dyDescent="0.2">
      <c r="A400" s="3"/>
      <c r="B400" s="3"/>
      <c r="C400" s="3"/>
      <c r="D400" s="3"/>
      <c r="E400" s="3"/>
      <c r="F400" s="3"/>
      <c r="G400" s="3"/>
      <c r="H400" s="3"/>
      <c r="I400" s="3"/>
      <c r="J400" s="3"/>
      <c r="K400" s="3"/>
    </row>
    <row r="401" spans="1:11" hidden="1" x14ac:dyDescent="0.2">
      <c r="A401" s="3"/>
      <c r="B401" s="3"/>
      <c r="C401" s="3"/>
      <c r="D401" s="3"/>
      <c r="E401" s="3"/>
      <c r="F401" s="3"/>
      <c r="G401" s="3"/>
      <c r="H401" s="3"/>
      <c r="I401" s="3"/>
      <c r="J401" s="3"/>
      <c r="K401" s="3"/>
    </row>
    <row r="402" spans="1:11" hidden="1" x14ac:dyDescent="0.2">
      <c r="A402" s="3"/>
      <c r="B402" s="3"/>
      <c r="C402" s="3"/>
      <c r="D402" s="3"/>
      <c r="E402" s="3"/>
      <c r="F402" s="3"/>
      <c r="G402" s="3"/>
      <c r="H402" s="3"/>
      <c r="I402" s="3"/>
      <c r="J402" s="3"/>
      <c r="K402" s="3"/>
    </row>
    <row r="403" spans="1:11" hidden="1" x14ac:dyDescent="0.2">
      <c r="A403" s="3"/>
      <c r="B403" s="3"/>
      <c r="C403" s="3"/>
      <c r="D403" s="3"/>
      <c r="E403" s="3"/>
      <c r="F403" s="3"/>
      <c r="G403" s="3"/>
      <c r="H403" s="3"/>
      <c r="I403" s="3"/>
      <c r="J403" s="3"/>
      <c r="K403" s="3"/>
    </row>
    <row r="404" spans="1:11" hidden="1" x14ac:dyDescent="0.2">
      <c r="A404" s="3"/>
      <c r="B404" s="3"/>
      <c r="C404" s="3"/>
      <c r="D404" s="3"/>
      <c r="E404" s="3"/>
      <c r="F404" s="3"/>
      <c r="G404" s="3"/>
      <c r="H404" s="3"/>
      <c r="I404" s="3"/>
      <c r="J404" s="3"/>
      <c r="K404" s="3"/>
    </row>
    <row r="405" spans="1:11" hidden="1" x14ac:dyDescent="0.2">
      <c r="A405" s="3"/>
      <c r="B405" s="3"/>
      <c r="C405" s="3"/>
      <c r="D405" s="3"/>
      <c r="E405" s="3"/>
      <c r="F405" s="3"/>
      <c r="G405" s="3"/>
      <c r="H405" s="3"/>
      <c r="I405" s="3"/>
      <c r="J405" s="3"/>
      <c r="K405" s="3"/>
    </row>
    <row r="406" spans="1:11" hidden="1" x14ac:dyDescent="0.2">
      <c r="A406" s="3"/>
      <c r="B406" s="3"/>
      <c r="C406" s="3"/>
      <c r="D406" s="3"/>
      <c r="E406" s="3"/>
      <c r="F406" s="3"/>
      <c r="G406" s="3"/>
      <c r="H406" s="3"/>
      <c r="I406" s="3"/>
      <c r="J406" s="3"/>
      <c r="K406" s="3"/>
    </row>
    <row r="407" spans="1:11" hidden="1" x14ac:dyDescent="0.2">
      <c r="A407" s="3"/>
      <c r="B407" s="3"/>
      <c r="C407" s="3"/>
      <c r="D407" s="3"/>
      <c r="E407" s="3"/>
      <c r="F407" s="3"/>
      <c r="G407" s="3"/>
      <c r="H407" s="3"/>
      <c r="I407" s="3"/>
      <c r="J407" s="3"/>
      <c r="K407" s="3"/>
    </row>
    <row r="408" spans="1:11" hidden="1" x14ac:dyDescent="0.2">
      <c r="A408" s="3"/>
      <c r="B408" s="3"/>
      <c r="C408" s="3"/>
      <c r="D408" s="3"/>
      <c r="E408" s="3"/>
      <c r="F408" s="3"/>
      <c r="G408" s="3"/>
      <c r="H408" s="3"/>
      <c r="I408" s="3"/>
      <c r="J408" s="3"/>
      <c r="K408" s="3"/>
    </row>
    <row r="409" spans="1:11" hidden="1" x14ac:dyDescent="0.2">
      <c r="A409" s="3"/>
      <c r="B409" s="3"/>
      <c r="C409" s="3"/>
      <c r="D409" s="3"/>
      <c r="E409" s="3"/>
      <c r="F409" s="3"/>
      <c r="G409" s="3"/>
      <c r="H409" s="3"/>
      <c r="I409" s="3"/>
      <c r="J409" s="3"/>
      <c r="K409" s="3"/>
    </row>
    <row r="410" spans="1:11" hidden="1" x14ac:dyDescent="0.2">
      <c r="A410" s="3"/>
      <c r="B410" s="3"/>
      <c r="C410" s="3"/>
      <c r="D410" s="3"/>
      <c r="E410" s="3"/>
      <c r="F410" s="3"/>
      <c r="G410" s="3"/>
      <c r="H410" s="3"/>
      <c r="I410" s="3"/>
      <c r="J410" s="3"/>
      <c r="K410" s="3"/>
    </row>
    <row r="411" spans="1:11" hidden="1" x14ac:dyDescent="0.2">
      <c r="A411" s="3"/>
      <c r="B411" s="3"/>
      <c r="C411" s="3"/>
      <c r="D411" s="3"/>
      <c r="E411" s="3"/>
      <c r="F411" s="3"/>
      <c r="G411" s="3"/>
      <c r="H411" s="3"/>
      <c r="I411" s="3"/>
      <c r="J411" s="3"/>
      <c r="K411" s="3"/>
    </row>
    <row r="412" spans="1:11" hidden="1" x14ac:dyDescent="0.2">
      <c r="A412" s="3"/>
      <c r="B412" s="3"/>
      <c r="C412" s="3"/>
      <c r="D412" s="3"/>
      <c r="E412" s="3"/>
      <c r="F412" s="3"/>
      <c r="G412" s="3"/>
      <c r="H412" s="3"/>
      <c r="I412" s="3"/>
      <c r="J412" s="3"/>
      <c r="K412" s="3"/>
    </row>
    <row r="413" spans="1:11" hidden="1" x14ac:dyDescent="0.2">
      <c r="A413" s="3"/>
      <c r="B413" s="3"/>
      <c r="C413" s="3"/>
      <c r="D413" s="3"/>
      <c r="E413" s="3"/>
      <c r="F413" s="3"/>
      <c r="G413" s="3"/>
      <c r="H413" s="3"/>
      <c r="I413" s="3"/>
      <c r="J413" s="3"/>
      <c r="K413" s="3"/>
    </row>
    <row r="414" spans="1:11" hidden="1" x14ac:dyDescent="0.2">
      <c r="A414" s="3"/>
      <c r="B414" s="3"/>
      <c r="C414" s="3"/>
      <c r="D414" s="3"/>
      <c r="E414" s="3"/>
      <c r="F414" s="3"/>
      <c r="G414" s="3"/>
      <c r="H414" s="3"/>
      <c r="I414" s="3"/>
      <c r="J414" s="3"/>
      <c r="K414" s="3"/>
    </row>
    <row r="415" spans="1:11" hidden="1" x14ac:dyDescent="0.2">
      <c r="A415" s="3"/>
      <c r="B415" s="3"/>
      <c r="C415" s="3"/>
      <c r="D415" s="3"/>
      <c r="E415" s="3"/>
      <c r="F415" s="3"/>
      <c r="G415" s="3"/>
      <c r="H415" s="3"/>
      <c r="I415" s="3"/>
      <c r="J415" s="3"/>
      <c r="K415" s="3"/>
    </row>
    <row r="416" spans="1:11" hidden="1" x14ac:dyDescent="0.2">
      <c r="A416" s="3"/>
      <c r="B416" s="3"/>
      <c r="C416" s="3"/>
      <c r="D416" s="3"/>
      <c r="E416" s="3"/>
      <c r="F416" s="3"/>
      <c r="G416" s="3"/>
      <c r="H416" s="3"/>
      <c r="I416" s="3"/>
      <c r="J416" s="3"/>
      <c r="K416" s="3"/>
    </row>
    <row r="417" spans="1:11" hidden="1" x14ac:dyDescent="0.2">
      <c r="A417" s="3"/>
      <c r="B417" s="3"/>
      <c r="C417" s="3"/>
      <c r="D417" s="3"/>
      <c r="E417" s="3"/>
      <c r="F417" s="3"/>
      <c r="G417" s="3"/>
      <c r="H417" s="3"/>
      <c r="I417" s="3"/>
      <c r="J417" s="3"/>
      <c r="K417" s="3"/>
    </row>
    <row r="418" spans="1:11" hidden="1" x14ac:dyDescent="0.2">
      <c r="A418" s="3"/>
      <c r="B418" s="3"/>
      <c r="C418" s="3"/>
      <c r="D418" s="3"/>
      <c r="E418" s="3"/>
      <c r="F418" s="3"/>
      <c r="G418" s="3"/>
      <c r="H418" s="3"/>
      <c r="I418" s="3"/>
      <c r="J418" s="3"/>
      <c r="K418" s="3"/>
    </row>
    <row r="419" spans="1:11" hidden="1" x14ac:dyDescent="0.2">
      <c r="A419" s="3"/>
      <c r="B419" s="3"/>
      <c r="C419" s="3"/>
      <c r="D419" s="3"/>
      <c r="E419" s="3"/>
      <c r="F419" s="3"/>
      <c r="G419" s="3"/>
      <c r="H419" s="3"/>
      <c r="I419" s="3"/>
      <c r="J419" s="3"/>
      <c r="K419" s="3"/>
    </row>
    <row r="420" spans="1:11" hidden="1" x14ac:dyDescent="0.2">
      <c r="A420" s="3"/>
      <c r="B420" s="3"/>
      <c r="C420" s="3"/>
      <c r="D420" s="3"/>
      <c r="E420" s="3"/>
      <c r="F420" s="3"/>
      <c r="G420" s="3"/>
      <c r="H420" s="3"/>
      <c r="I420" s="3"/>
      <c r="J420" s="3"/>
      <c r="K420" s="3"/>
    </row>
    <row r="421" spans="1:11" hidden="1" x14ac:dyDescent="0.2">
      <c r="A421" s="3"/>
      <c r="B421" s="3"/>
      <c r="C421" s="3"/>
      <c r="D421" s="3"/>
      <c r="E421" s="3"/>
      <c r="F421" s="3"/>
      <c r="G421" s="3"/>
      <c r="H421" s="3"/>
      <c r="I421" s="3"/>
      <c r="J421" s="3"/>
      <c r="K421" s="3"/>
    </row>
    <row r="422" spans="1:11" hidden="1" x14ac:dyDescent="0.2">
      <c r="A422" s="3"/>
      <c r="B422" s="3"/>
      <c r="C422" s="3"/>
      <c r="D422" s="3"/>
      <c r="E422" s="3"/>
      <c r="F422" s="3"/>
      <c r="G422" s="3"/>
      <c r="H422" s="3"/>
      <c r="I422" s="3"/>
      <c r="J422" s="3"/>
      <c r="K422" s="3"/>
    </row>
    <row r="423" spans="1:11" hidden="1" x14ac:dyDescent="0.2">
      <c r="A423" s="3"/>
      <c r="B423" s="3"/>
      <c r="C423" s="3"/>
      <c r="D423" s="3"/>
      <c r="E423" s="3"/>
      <c r="F423" s="3"/>
      <c r="G423" s="3"/>
      <c r="H423" s="3"/>
      <c r="I423" s="3"/>
      <c r="J423" s="3"/>
      <c r="K423" s="3"/>
    </row>
    <row r="424" spans="1:11" hidden="1" x14ac:dyDescent="0.2">
      <c r="A424" s="3"/>
      <c r="B424" s="3"/>
      <c r="C424" s="3"/>
      <c r="D424" s="3"/>
      <c r="E424" s="3"/>
      <c r="F424" s="3"/>
      <c r="G424" s="3"/>
      <c r="H424" s="3"/>
      <c r="I424" s="3"/>
      <c r="J424" s="3"/>
      <c r="K424" s="3"/>
    </row>
    <row r="425" spans="1:11" hidden="1" x14ac:dyDescent="0.2">
      <c r="A425" s="3"/>
      <c r="B425" s="3"/>
      <c r="C425" s="3"/>
      <c r="D425" s="3"/>
      <c r="E425" s="3"/>
      <c r="F425" s="3"/>
      <c r="G425" s="3"/>
      <c r="H425" s="3"/>
      <c r="I425" s="3"/>
      <c r="J425" s="3"/>
      <c r="K425" s="3"/>
    </row>
    <row r="426" spans="1:11" hidden="1" x14ac:dyDescent="0.2">
      <c r="A426" s="3"/>
      <c r="B426" s="3"/>
      <c r="C426" s="3"/>
      <c r="D426" s="3"/>
      <c r="E426" s="3"/>
      <c r="F426" s="3"/>
      <c r="G426" s="3"/>
      <c r="H426" s="3"/>
      <c r="I426" s="3"/>
      <c r="J426" s="3"/>
      <c r="K426" s="3"/>
    </row>
    <row r="427" spans="1:11" hidden="1" x14ac:dyDescent="0.2">
      <c r="A427" s="3"/>
      <c r="B427" s="3"/>
      <c r="C427" s="3"/>
      <c r="D427" s="3"/>
      <c r="E427" s="3"/>
      <c r="F427" s="3"/>
      <c r="G427" s="3"/>
      <c r="H427" s="3"/>
      <c r="I427" s="3"/>
      <c r="J427" s="3"/>
      <c r="K427" s="3"/>
    </row>
    <row r="428" spans="1:11" hidden="1" x14ac:dyDescent="0.2">
      <c r="A428" s="3"/>
      <c r="B428" s="3"/>
      <c r="C428" s="3"/>
      <c r="D428" s="3"/>
      <c r="E428" s="3"/>
      <c r="F428" s="3"/>
      <c r="G428" s="3"/>
      <c r="H428" s="3"/>
      <c r="I428" s="3"/>
      <c r="J428" s="3"/>
      <c r="K428" s="3"/>
    </row>
    <row r="429" spans="1:11" hidden="1" x14ac:dyDescent="0.2">
      <c r="A429" s="3"/>
      <c r="B429" s="3"/>
      <c r="C429" s="3"/>
      <c r="D429" s="3"/>
      <c r="E429" s="3"/>
      <c r="F429" s="3"/>
      <c r="G429" s="3"/>
      <c r="H429" s="3"/>
      <c r="I429" s="3"/>
      <c r="J429" s="3"/>
      <c r="K429" s="3"/>
    </row>
    <row r="430" spans="1:11" hidden="1" x14ac:dyDescent="0.2">
      <c r="A430" s="3"/>
      <c r="B430" s="3"/>
      <c r="C430" s="3"/>
      <c r="D430" s="3"/>
      <c r="E430" s="3"/>
      <c r="F430" s="3"/>
      <c r="G430" s="3"/>
      <c r="H430" s="3"/>
      <c r="I430" s="3"/>
      <c r="J430" s="3"/>
      <c r="K430" s="3"/>
    </row>
    <row r="431" spans="1:11" hidden="1" x14ac:dyDescent="0.2">
      <c r="A431" s="3"/>
      <c r="B431" s="3"/>
      <c r="C431" s="3"/>
      <c r="D431" s="3"/>
      <c r="E431" s="3"/>
      <c r="F431" s="3"/>
      <c r="G431" s="3"/>
      <c r="H431" s="3"/>
      <c r="I431" s="3"/>
      <c r="J431" s="3"/>
      <c r="K431" s="3"/>
    </row>
    <row r="432" spans="1:11" hidden="1" x14ac:dyDescent="0.2">
      <c r="A432" s="3"/>
      <c r="B432" s="3"/>
      <c r="C432" s="3"/>
      <c r="D432" s="3"/>
      <c r="E432" s="3"/>
      <c r="F432" s="3"/>
      <c r="G432" s="3"/>
      <c r="H432" s="3"/>
      <c r="I432" s="3"/>
      <c r="J432" s="3"/>
      <c r="K432" s="3"/>
    </row>
    <row r="433" spans="1:11" hidden="1" x14ac:dyDescent="0.2">
      <c r="A433" s="3"/>
      <c r="B433" s="3"/>
      <c r="C433" s="3"/>
      <c r="D433" s="3"/>
      <c r="E433" s="3"/>
      <c r="F433" s="3"/>
      <c r="G433" s="3"/>
      <c r="H433" s="3"/>
      <c r="I433" s="3"/>
      <c r="J433" s="3"/>
      <c r="K433" s="3"/>
    </row>
    <row r="434" spans="1:11" hidden="1" x14ac:dyDescent="0.2">
      <c r="A434" s="3"/>
      <c r="B434" s="3"/>
      <c r="C434" s="3"/>
      <c r="D434" s="3"/>
      <c r="E434" s="3"/>
      <c r="F434" s="3"/>
      <c r="G434" s="3"/>
      <c r="H434" s="3"/>
      <c r="I434" s="3"/>
      <c r="J434" s="3"/>
      <c r="K434" s="3"/>
    </row>
    <row r="435" spans="1:11" hidden="1" x14ac:dyDescent="0.2">
      <c r="A435" s="3"/>
      <c r="B435" s="3"/>
      <c r="C435" s="3"/>
      <c r="D435" s="3"/>
      <c r="E435" s="3"/>
      <c r="F435" s="3"/>
      <c r="G435" s="3"/>
      <c r="H435" s="3"/>
      <c r="I435" s="3"/>
      <c r="J435" s="3"/>
      <c r="K435" s="3"/>
    </row>
    <row r="436" spans="1:11" hidden="1" x14ac:dyDescent="0.2">
      <c r="A436" s="3"/>
      <c r="B436" s="3"/>
      <c r="C436" s="3"/>
      <c r="D436" s="3"/>
      <c r="E436" s="3"/>
      <c r="F436" s="3"/>
      <c r="G436" s="3"/>
      <c r="H436" s="3"/>
      <c r="I436" s="3"/>
      <c r="J436" s="3"/>
      <c r="K436" s="3"/>
    </row>
    <row r="437" spans="1:11" hidden="1" x14ac:dyDescent="0.2">
      <c r="A437" s="3"/>
      <c r="B437" s="3"/>
      <c r="C437" s="3"/>
      <c r="D437" s="3"/>
      <c r="E437" s="3"/>
      <c r="F437" s="3"/>
      <c r="G437" s="3"/>
      <c r="H437" s="3"/>
      <c r="I437" s="3"/>
      <c r="J437" s="3"/>
      <c r="K437" s="3"/>
    </row>
    <row r="438" spans="1:11" hidden="1" x14ac:dyDescent="0.2">
      <c r="A438" s="3"/>
      <c r="B438" s="3"/>
      <c r="C438" s="3"/>
      <c r="D438" s="3"/>
      <c r="E438" s="3"/>
      <c r="F438" s="3"/>
      <c r="G438" s="3"/>
      <c r="H438" s="3"/>
      <c r="I438" s="3"/>
      <c r="J438" s="3"/>
      <c r="K438" s="3"/>
    </row>
    <row r="439" spans="1:11" hidden="1" x14ac:dyDescent="0.2">
      <c r="A439" s="3"/>
      <c r="B439" s="3"/>
      <c r="C439" s="3"/>
      <c r="D439" s="3"/>
      <c r="E439" s="3"/>
      <c r="F439" s="3"/>
      <c r="G439" s="3"/>
      <c r="H439" s="3"/>
      <c r="I439" s="3"/>
      <c r="J439" s="3"/>
      <c r="K439" s="3"/>
    </row>
    <row r="440" spans="1:11" hidden="1" x14ac:dyDescent="0.2">
      <c r="A440" s="3"/>
      <c r="B440" s="3"/>
      <c r="C440" s="3"/>
      <c r="D440" s="3"/>
      <c r="E440" s="3"/>
      <c r="F440" s="3"/>
      <c r="G440" s="3"/>
      <c r="H440" s="3"/>
      <c r="I440" s="3"/>
      <c r="J440" s="3"/>
      <c r="K440" s="3"/>
    </row>
    <row r="441" spans="1:11" hidden="1" x14ac:dyDescent="0.2">
      <c r="A441" s="3"/>
      <c r="B441" s="3"/>
      <c r="C441" s="3"/>
      <c r="D441" s="3"/>
      <c r="E441" s="3"/>
      <c r="F441" s="3"/>
      <c r="G441" s="3"/>
      <c r="H441" s="3"/>
      <c r="I441" s="3"/>
      <c r="J441" s="3"/>
      <c r="K441" s="3"/>
    </row>
    <row r="442" spans="1:11" hidden="1" x14ac:dyDescent="0.2">
      <c r="A442" s="3"/>
      <c r="B442" s="3"/>
      <c r="C442" s="3"/>
      <c r="D442" s="3"/>
      <c r="E442" s="3"/>
      <c r="F442" s="3"/>
      <c r="G442" s="3"/>
      <c r="H442" s="3"/>
      <c r="I442" s="3"/>
      <c r="J442" s="3"/>
      <c r="K442" s="3"/>
    </row>
    <row r="443" spans="1:11" hidden="1" x14ac:dyDescent="0.2">
      <c r="A443" s="3"/>
      <c r="B443" s="3"/>
      <c r="C443" s="3"/>
      <c r="D443" s="3"/>
      <c r="E443" s="3"/>
      <c r="F443" s="3"/>
      <c r="G443" s="3"/>
      <c r="H443" s="3"/>
      <c r="I443" s="3"/>
      <c r="J443" s="3"/>
      <c r="K443" s="3"/>
    </row>
    <row r="444" spans="1:11" hidden="1" x14ac:dyDescent="0.2">
      <c r="A444" s="3"/>
      <c r="B444" s="3"/>
      <c r="C444" s="3"/>
      <c r="D444" s="3"/>
      <c r="E444" s="3"/>
      <c r="F444" s="3"/>
      <c r="G444" s="3"/>
      <c r="H444" s="3"/>
      <c r="I444" s="3"/>
      <c r="J444" s="3"/>
      <c r="K444" s="3"/>
    </row>
    <row r="445" spans="1:11" hidden="1" x14ac:dyDescent="0.2">
      <c r="A445" s="3"/>
      <c r="B445" s="3"/>
      <c r="C445" s="3"/>
      <c r="D445" s="3"/>
      <c r="E445" s="3"/>
      <c r="F445" s="3"/>
      <c r="G445" s="3"/>
      <c r="H445" s="3"/>
      <c r="I445" s="3"/>
      <c r="J445" s="3"/>
      <c r="K445" s="3"/>
    </row>
    <row r="446" spans="1:11" hidden="1" x14ac:dyDescent="0.2">
      <c r="A446" s="3"/>
      <c r="B446" s="3"/>
      <c r="C446" s="3"/>
      <c r="D446" s="3"/>
      <c r="E446" s="3"/>
      <c r="F446" s="3"/>
      <c r="G446" s="3"/>
      <c r="H446" s="3"/>
      <c r="I446" s="3"/>
      <c r="J446" s="3"/>
      <c r="K446" s="3"/>
    </row>
    <row r="447" spans="1:11" hidden="1" x14ac:dyDescent="0.2">
      <c r="A447" s="3"/>
      <c r="B447" s="3"/>
      <c r="C447" s="3"/>
      <c r="D447" s="3"/>
      <c r="E447" s="3"/>
      <c r="F447" s="3"/>
      <c r="G447" s="3"/>
      <c r="H447" s="3"/>
      <c r="I447" s="3"/>
      <c r="J447" s="3"/>
      <c r="K447" s="3"/>
    </row>
    <row r="448" spans="1:11" hidden="1" x14ac:dyDescent="0.2">
      <c r="A448" s="3"/>
      <c r="B448" s="3"/>
      <c r="C448" s="3"/>
      <c r="D448" s="3"/>
      <c r="E448" s="3"/>
      <c r="F448" s="3"/>
      <c r="G448" s="3"/>
      <c r="H448" s="3"/>
      <c r="I448" s="3"/>
      <c r="J448" s="3"/>
      <c r="K448" s="3"/>
    </row>
    <row r="449" spans="1:11" hidden="1" x14ac:dyDescent="0.2">
      <c r="A449" s="3"/>
      <c r="B449" s="3"/>
      <c r="C449" s="3"/>
      <c r="D449" s="3"/>
      <c r="E449" s="3"/>
      <c r="F449" s="3"/>
      <c r="G449" s="3"/>
      <c r="H449" s="3"/>
      <c r="I449" s="3"/>
      <c r="J449" s="3"/>
      <c r="K449" s="3"/>
    </row>
    <row r="450" spans="1:11" hidden="1" x14ac:dyDescent="0.2">
      <c r="A450" s="3"/>
      <c r="B450" s="3"/>
      <c r="C450" s="3"/>
      <c r="D450" s="3"/>
      <c r="E450" s="3"/>
      <c r="F450" s="3"/>
      <c r="G450" s="3"/>
      <c r="H450" s="3"/>
      <c r="I450" s="3"/>
      <c r="J450" s="3"/>
      <c r="K450" s="3"/>
    </row>
    <row r="451" spans="1:11" hidden="1" x14ac:dyDescent="0.2">
      <c r="A451" s="3"/>
      <c r="B451" s="3"/>
      <c r="C451" s="3"/>
      <c r="D451" s="3"/>
      <c r="E451" s="3"/>
      <c r="F451" s="3"/>
      <c r="G451" s="3"/>
      <c r="H451" s="3"/>
      <c r="I451" s="3"/>
      <c r="J451" s="3"/>
      <c r="K451" s="3"/>
    </row>
    <row r="452" spans="1:11" hidden="1" x14ac:dyDescent="0.2">
      <c r="A452" s="3"/>
      <c r="B452" s="3"/>
      <c r="C452" s="3"/>
      <c r="D452" s="3"/>
      <c r="E452" s="3"/>
      <c r="F452" s="3"/>
      <c r="G452" s="3"/>
      <c r="H452" s="3"/>
      <c r="I452" s="3"/>
      <c r="J452" s="3"/>
      <c r="K452" s="3"/>
    </row>
    <row r="453" spans="1:11" hidden="1" x14ac:dyDescent="0.2">
      <c r="A453" s="3"/>
      <c r="B453" s="3"/>
      <c r="C453" s="3"/>
      <c r="D453" s="3"/>
      <c r="E453" s="3"/>
      <c r="F453" s="3"/>
      <c r="G453" s="3"/>
      <c r="H453" s="3"/>
      <c r="I453" s="3"/>
      <c r="J453" s="3"/>
      <c r="K453" s="3"/>
    </row>
    <row r="454" spans="1:11" hidden="1" x14ac:dyDescent="0.2">
      <c r="A454" s="3"/>
      <c r="B454" s="3"/>
      <c r="C454" s="3"/>
      <c r="D454" s="3"/>
      <c r="E454" s="3"/>
      <c r="F454" s="3"/>
      <c r="G454" s="3"/>
      <c r="H454" s="3"/>
      <c r="I454" s="3"/>
      <c r="J454" s="3"/>
      <c r="K454" s="3"/>
    </row>
    <row r="455" spans="1:11" hidden="1" x14ac:dyDescent="0.2">
      <c r="A455" s="3"/>
      <c r="B455" s="3"/>
      <c r="C455" s="3"/>
      <c r="D455" s="3"/>
      <c r="E455" s="3"/>
      <c r="F455" s="3"/>
      <c r="G455" s="3"/>
      <c r="H455" s="3"/>
      <c r="I455" s="3"/>
      <c r="J455" s="3"/>
      <c r="K455" s="3"/>
    </row>
    <row r="456" spans="1:11" hidden="1" x14ac:dyDescent="0.2">
      <c r="A456" s="3"/>
      <c r="B456" s="3"/>
      <c r="C456" s="3"/>
      <c r="D456" s="3"/>
      <c r="E456" s="3"/>
      <c r="F456" s="3"/>
      <c r="G456" s="3"/>
      <c r="H456" s="3"/>
      <c r="I456" s="3"/>
      <c r="J456" s="3"/>
      <c r="K456" s="3"/>
    </row>
    <row r="457" spans="1:11" hidden="1" x14ac:dyDescent="0.2">
      <c r="A457" s="3"/>
      <c r="B457" s="3"/>
      <c r="C457" s="3"/>
      <c r="D457" s="3"/>
      <c r="E457" s="3"/>
      <c r="F457" s="3"/>
      <c r="G457" s="3"/>
      <c r="H457" s="3"/>
      <c r="I457" s="3"/>
      <c r="J457" s="3"/>
      <c r="K457" s="3"/>
    </row>
    <row r="458" spans="1:11" hidden="1" x14ac:dyDescent="0.2">
      <c r="A458" s="3"/>
      <c r="B458" s="3"/>
      <c r="C458" s="3"/>
      <c r="D458" s="3"/>
      <c r="E458" s="3"/>
      <c r="F458" s="3"/>
      <c r="G458" s="3"/>
      <c r="H458" s="3"/>
      <c r="I458" s="3"/>
      <c r="J458" s="3"/>
      <c r="K458" s="3"/>
    </row>
    <row r="459" spans="1:11" hidden="1" x14ac:dyDescent="0.2">
      <c r="A459" s="3"/>
      <c r="B459" s="3"/>
      <c r="C459" s="3"/>
      <c r="D459" s="3"/>
      <c r="E459" s="3"/>
      <c r="F459" s="3"/>
      <c r="G459" s="3"/>
      <c r="H459" s="3"/>
      <c r="I459" s="3"/>
      <c r="J459" s="3"/>
      <c r="K459" s="3"/>
    </row>
    <row r="460" spans="1:11" hidden="1" x14ac:dyDescent="0.2">
      <c r="A460" s="3"/>
      <c r="B460" s="3"/>
      <c r="C460" s="3"/>
      <c r="D460" s="3"/>
      <c r="E460" s="3"/>
      <c r="F460" s="3"/>
      <c r="G460" s="3"/>
      <c r="H460" s="3"/>
      <c r="I460" s="3"/>
      <c r="J460" s="3"/>
      <c r="K460" s="3"/>
    </row>
    <row r="461" spans="1:11" hidden="1" x14ac:dyDescent="0.2">
      <c r="A461" s="3"/>
      <c r="B461" s="3"/>
      <c r="C461" s="3"/>
      <c r="D461" s="3"/>
      <c r="E461" s="3"/>
      <c r="F461" s="3"/>
      <c r="G461" s="3"/>
      <c r="H461" s="3"/>
      <c r="I461" s="3"/>
      <c r="J461" s="3"/>
      <c r="K461" s="3"/>
    </row>
    <row r="462" spans="1:11" hidden="1" x14ac:dyDescent="0.2">
      <c r="A462" s="3"/>
      <c r="B462" s="3"/>
      <c r="C462" s="3"/>
      <c r="D462" s="3"/>
      <c r="E462" s="3"/>
      <c r="F462" s="3"/>
      <c r="G462" s="3"/>
      <c r="H462" s="3"/>
      <c r="I462" s="3"/>
      <c r="J462" s="3"/>
      <c r="K462" s="3"/>
    </row>
    <row r="463" spans="1:11" hidden="1" x14ac:dyDescent="0.2">
      <c r="A463" s="3"/>
      <c r="B463" s="3"/>
      <c r="C463" s="3"/>
      <c r="D463" s="3"/>
      <c r="E463" s="3"/>
      <c r="F463" s="3"/>
      <c r="G463" s="3"/>
      <c r="H463" s="3"/>
      <c r="I463" s="3"/>
      <c r="J463" s="3"/>
      <c r="K463" s="3"/>
    </row>
    <row r="464" spans="1:11" hidden="1" x14ac:dyDescent="0.2">
      <c r="A464" s="3"/>
      <c r="B464" s="3"/>
      <c r="C464" s="3"/>
      <c r="D464" s="3"/>
      <c r="E464" s="3"/>
      <c r="F464" s="3"/>
      <c r="G464" s="3"/>
      <c r="H464" s="3"/>
      <c r="I464" s="3"/>
      <c r="J464" s="3"/>
      <c r="K464" s="3"/>
    </row>
    <row r="465" spans="1:11" hidden="1" x14ac:dyDescent="0.2">
      <c r="A465" s="3"/>
      <c r="B465" s="3"/>
      <c r="C465" s="3"/>
      <c r="D465" s="3"/>
      <c r="E465" s="3"/>
      <c r="F465" s="3"/>
      <c r="G465" s="3"/>
      <c r="H465" s="3"/>
      <c r="I465" s="3"/>
      <c r="J465" s="3"/>
      <c r="K465" s="3"/>
    </row>
    <row r="466" spans="1:11" hidden="1" x14ac:dyDescent="0.2">
      <c r="A466" s="3"/>
      <c r="B466" s="3"/>
      <c r="C466" s="3"/>
      <c r="D466" s="3"/>
      <c r="E466" s="3"/>
      <c r="F466" s="3"/>
      <c r="G466" s="3"/>
      <c r="H466" s="3"/>
      <c r="I466" s="3"/>
      <c r="J466" s="3"/>
      <c r="K466" s="3"/>
    </row>
    <row r="467" spans="1:11" hidden="1" x14ac:dyDescent="0.2">
      <c r="A467" s="3"/>
      <c r="B467" s="3"/>
      <c r="C467" s="3"/>
      <c r="D467" s="3"/>
      <c r="E467" s="3"/>
      <c r="F467" s="3"/>
      <c r="G467" s="3"/>
      <c r="H467" s="3"/>
      <c r="I467" s="3"/>
      <c r="J467" s="3"/>
      <c r="K467" s="3"/>
    </row>
    <row r="468" spans="1:11" hidden="1" x14ac:dyDescent="0.2">
      <c r="A468" s="3"/>
      <c r="B468" s="3"/>
      <c r="C468" s="3"/>
      <c r="D468" s="3"/>
      <c r="E468" s="3"/>
      <c r="F468" s="3"/>
      <c r="G468" s="3"/>
      <c r="H468" s="3"/>
      <c r="I468" s="3"/>
      <c r="J468" s="3"/>
      <c r="K468" s="3"/>
    </row>
    <row r="469" spans="1:11" hidden="1" x14ac:dyDescent="0.2">
      <c r="A469" s="3"/>
      <c r="B469" s="3"/>
      <c r="C469" s="3"/>
      <c r="D469" s="3"/>
      <c r="E469" s="3"/>
      <c r="F469" s="3"/>
      <c r="G469" s="3"/>
      <c r="H469" s="3"/>
      <c r="I469" s="3"/>
      <c r="J469" s="3"/>
      <c r="K469" s="3"/>
    </row>
    <row r="470" spans="1:11" hidden="1" x14ac:dyDescent="0.2">
      <c r="A470" s="3"/>
      <c r="B470" s="3"/>
      <c r="C470" s="3"/>
      <c r="D470" s="3"/>
      <c r="E470" s="3"/>
      <c r="F470" s="3"/>
      <c r="G470" s="3"/>
      <c r="H470" s="3"/>
      <c r="I470" s="3"/>
      <c r="J470" s="3"/>
      <c r="K470" s="3"/>
    </row>
    <row r="471" spans="1:11" hidden="1" x14ac:dyDescent="0.2">
      <c r="A471" s="3"/>
      <c r="B471" s="3"/>
      <c r="C471" s="3"/>
      <c r="D471" s="3"/>
      <c r="E471" s="3"/>
      <c r="F471" s="3"/>
      <c r="G471" s="3"/>
      <c r="H471" s="3"/>
      <c r="I471" s="3"/>
      <c r="J471" s="3"/>
      <c r="K471" s="3"/>
    </row>
    <row r="472" spans="1:11" hidden="1" x14ac:dyDescent="0.2">
      <c r="A472" s="3"/>
      <c r="B472" s="3"/>
      <c r="C472" s="3"/>
      <c r="D472" s="3"/>
      <c r="E472" s="3"/>
      <c r="F472" s="3"/>
      <c r="G472" s="3"/>
      <c r="H472" s="3"/>
      <c r="I472" s="3"/>
      <c r="J472" s="3"/>
      <c r="K472" s="3"/>
    </row>
    <row r="473" spans="1:11" hidden="1" x14ac:dyDescent="0.2">
      <c r="A473" s="3"/>
      <c r="B473" s="3"/>
      <c r="C473" s="3"/>
      <c r="D473" s="3"/>
      <c r="E473" s="3"/>
      <c r="F473" s="3"/>
      <c r="G473" s="3"/>
      <c r="H473" s="3"/>
      <c r="I473" s="3"/>
      <c r="J473" s="3"/>
      <c r="K473" s="3"/>
    </row>
    <row r="474" spans="1:11" hidden="1" x14ac:dyDescent="0.2">
      <c r="A474" s="3"/>
      <c r="B474" s="3"/>
      <c r="C474" s="3"/>
      <c r="D474" s="3"/>
      <c r="E474" s="3"/>
      <c r="F474" s="3"/>
      <c r="G474" s="3"/>
      <c r="H474" s="3"/>
      <c r="I474" s="3"/>
      <c r="J474" s="3"/>
      <c r="K474" s="3"/>
    </row>
    <row r="475" spans="1:11" hidden="1" x14ac:dyDescent="0.2">
      <c r="A475" s="3"/>
      <c r="B475" s="3"/>
      <c r="C475" s="3"/>
      <c r="D475" s="3"/>
      <c r="E475" s="3"/>
      <c r="F475" s="3"/>
      <c r="G475" s="3"/>
      <c r="H475" s="3"/>
      <c r="I475" s="3"/>
      <c r="J475" s="3"/>
      <c r="K475" s="3"/>
    </row>
    <row r="476" spans="1:11" hidden="1" x14ac:dyDescent="0.2">
      <c r="A476" s="3"/>
      <c r="B476" s="3"/>
      <c r="C476" s="3"/>
      <c r="D476" s="3"/>
      <c r="E476" s="3"/>
      <c r="F476" s="3"/>
      <c r="G476" s="3"/>
      <c r="H476" s="3"/>
      <c r="I476" s="3"/>
      <c r="J476" s="3"/>
      <c r="K476" s="3"/>
    </row>
    <row r="477" spans="1:11" hidden="1" x14ac:dyDescent="0.2">
      <c r="A477" s="3"/>
      <c r="B477" s="3"/>
      <c r="C477" s="3"/>
      <c r="D477" s="3"/>
      <c r="E477" s="3"/>
      <c r="F477" s="3"/>
      <c r="G477" s="3"/>
      <c r="H477" s="3"/>
      <c r="I477" s="3"/>
      <c r="J477" s="3"/>
      <c r="K477" s="3"/>
    </row>
    <row r="478" spans="1:11" hidden="1" x14ac:dyDescent="0.2">
      <c r="A478" s="3"/>
      <c r="B478" s="3"/>
      <c r="C478" s="3"/>
      <c r="D478" s="3"/>
      <c r="E478" s="3"/>
      <c r="F478" s="3"/>
      <c r="G478" s="3"/>
      <c r="H478" s="3"/>
      <c r="I478" s="3"/>
      <c r="J478" s="3"/>
      <c r="K478" s="3"/>
    </row>
    <row r="479" spans="1:11" hidden="1" x14ac:dyDescent="0.2">
      <c r="A479" s="3"/>
      <c r="B479" s="3"/>
      <c r="C479" s="3"/>
      <c r="D479" s="3"/>
      <c r="E479" s="3"/>
      <c r="F479" s="3"/>
      <c r="G479" s="3"/>
      <c r="H479" s="3"/>
      <c r="I479" s="3"/>
      <c r="J479" s="3"/>
      <c r="K479" s="3"/>
    </row>
    <row r="480" spans="1:11" hidden="1" x14ac:dyDescent="0.2">
      <c r="A480" s="3"/>
      <c r="B480" s="3"/>
      <c r="C480" s="3"/>
      <c r="D480" s="3"/>
      <c r="E480" s="3"/>
      <c r="F480" s="3"/>
      <c r="G480" s="3"/>
      <c r="H480" s="3"/>
      <c r="I480" s="3"/>
      <c r="J480" s="3"/>
      <c r="K480" s="3"/>
    </row>
    <row r="481" spans="1:11" hidden="1" x14ac:dyDescent="0.2">
      <c r="A481" s="3"/>
      <c r="B481" s="3"/>
      <c r="C481" s="3"/>
      <c r="D481" s="3"/>
      <c r="E481" s="3"/>
      <c r="F481" s="3"/>
      <c r="G481" s="3"/>
      <c r="H481" s="3"/>
      <c r="I481" s="3"/>
      <c r="J481" s="3"/>
      <c r="K481" s="3"/>
    </row>
    <row r="482" spans="1:11" hidden="1" x14ac:dyDescent="0.2">
      <c r="A482" s="3"/>
      <c r="B482" s="3"/>
      <c r="C482" s="3"/>
      <c r="D482" s="3"/>
      <c r="E482" s="3"/>
      <c r="F482" s="3"/>
      <c r="G482" s="3"/>
      <c r="H482" s="3"/>
      <c r="I482" s="3"/>
      <c r="J482" s="3"/>
      <c r="K482" s="3"/>
    </row>
    <row r="483" spans="1:11" hidden="1" x14ac:dyDescent="0.2">
      <c r="A483" s="3"/>
      <c r="B483" s="3"/>
      <c r="C483" s="3"/>
      <c r="D483" s="3"/>
      <c r="E483" s="3"/>
      <c r="F483" s="3"/>
      <c r="G483" s="3"/>
      <c r="H483" s="3"/>
      <c r="I483" s="3"/>
      <c r="J483" s="3"/>
      <c r="K483" s="3"/>
    </row>
    <row r="484" spans="1:11" hidden="1" x14ac:dyDescent="0.2">
      <c r="A484" s="3"/>
      <c r="B484" s="3"/>
      <c r="C484" s="3"/>
      <c r="D484" s="3"/>
      <c r="E484" s="3"/>
      <c r="F484" s="3"/>
      <c r="G484" s="3"/>
      <c r="H484" s="3"/>
      <c r="I484" s="3"/>
      <c r="J484" s="3"/>
      <c r="K484" s="3"/>
    </row>
    <row r="485" spans="1:11" hidden="1" x14ac:dyDescent="0.2">
      <c r="A485" s="3"/>
      <c r="B485" s="3"/>
      <c r="C485" s="3"/>
      <c r="D485" s="3"/>
      <c r="E485" s="3"/>
      <c r="F485" s="3"/>
      <c r="G485" s="3"/>
      <c r="H485" s="3"/>
      <c r="I485" s="3"/>
      <c r="J485" s="3"/>
      <c r="K485" s="3"/>
    </row>
    <row r="486" spans="1:11" hidden="1" x14ac:dyDescent="0.2">
      <c r="A486" s="3"/>
      <c r="B486" s="3"/>
      <c r="C486" s="3"/>
      <c r="D486" s="3"/>
      <c r="E486" s="3"/>
      <c r="F486" s="3"/>
      <c r="G486" s="3"/>
      <c r="H486" s="3"/>
      <c r="I486" s="3"/>
      <c r="J486" s="3"/>
      <c r="K486" s="3"/>
    </row>
    <row r="487" spans="1:11" hidden="1" x14ac:dyDescent="0.2">
      <c r="A487" s="3"/>
      <c r="B487" s="3"/>
      <c r="C487" s="3"/>
      <c r="D487" s="3"/>
      <c r="E487" s="3"/>
      <c r="F487" s="3"/>
      <c r="G487" s="3"/>
      <c r="H487" s="3"/>
      <c r="I487" s="3"/>
      <c r="J487" s="3"/>
      <c r="K487" s="3"/>
    </row>
    <row r="488" spans="1:11" hidden="1" x14ac:dyDescent="0.2">
      <c r="A488" s="3"/>
      <c r="B488" s="3"/>
      <c r="C488" s="3"/>
      <c r="D488" s="3"/>
      <c r="E488" s="3"/>
      <c r="F488" s="3"/>
      <c r="G488" s="3"/>
      <c r="H488" s="3"/>
      <c r="I488" s="3"/>
      <c r="J488" s="3"/>
      <c r="K488" s="3"/>
    </row>
    <row r="489" spans="1:11" hidden="1" x14ac:dyDescent="0.2">
      <c r="A489" s="3"/>
      <c r="B489" s="3"/>
      <c r="C489" s="3"/>
      <c r="D489" s="3"/>
      <c r="E489" s="3"/>
      <c r="F489" s="3"/>
      <c r="G489" s="3"/>
      <c r="H489" s="3"/>
      <c r="I489" s="3"/>
      <c r="J489" s="3"/>
      <c r="K489" s="3"/>
    </row>
    <row r="490" spans="1:11" hidden="1" x14ac:dyDescent="0.2">
      <c r="A490" s="3"/>
      <c r="B490" s="3"/>
      <c r="C490" s="3"/>
      <c r="D490" s="3"/>
      <c r="E490" s="3"/>
      <c r="F490" s="3"/>
      <c r="G490" s="3"/>
      <c r="H490" s="3"/>
      <c r="I490" s="3"/>
      <c r="J490" s="3"/>
      <c r="K490" s="3"/>
    </row>
    <row r="491" spans="1:11" hidden="1" x14ac:dyDescent="0.2">
      <c r="A491" s="3"/>
      <c r="B491" s="3"/>
      <c r="C491" s="3"/>
      <c r="D491" s="3"/>
      <c r="E491" s="3"/>
      <c r="F491" s="3"/>
      <c r="G491" s="3"/>
      <c r="H491" s="3"/>
      <c r="I491" s="3"/>
      <c r="J491" s="3"/>
      <c r="K491" s="3"/>
    </row>
    <row r="492" spans="1:11" hidden="1" x14ac:dyDescent="0.2">
      <c r="A492" s="3"/>
      <c r="B492" s="3"/>
      <c r="C492" s="3"/>
      <c r="D492" s="3"/>
      <c r="E492" s="3"/>
      <c r="F492" s="3"/>
      <c r="G492" s="3"/>
      <c r="H492" s="3"/>
      <c r="I492" s="3"/>
      <c r="J492" s="3"/>
      <c r="K492" s="3"/>
    </row>
    <row r="493" spans="1:11" hidden="1" x14ac:dyDescent="0.2">
      <c r="A493" s="3"/>
      <c r="B493" s="3"/>
      <c r="C493" s="3"/>
      <c r="D493" s="3"/>
      <c r="E493" s="3"/>
      <c r="F493" s="3"/>
      <c r="G493" s="3"/>
      <c r="H493" s="3"/>
      <c r="I493" s="3"/>
      <c r="J493" s="3"/>
      <c r="K493" s="3"/>
    </row>
    <row r="494" spans="1:11" hidden="1" x14ac:dyDescent="0.2">
      <c r="A494" s="3"/>
      <c r="B494" s="3"/>
      <c r="C494" s="3"/>
      <c r="D494" s="3"/>
      <c r="E494" s="3"/>
      <c r="F494" s="3"/>
      <c r="G494" s="3"/>
      <c r="H494" s="3"/>
      <c r="I494" s="3"/>
      <c r="J494" s="3"/>
      <c r="K494" s="3"/>
    </row>
    <row r="495" spans="1:11" hidden="1" x14ac:dyDescent="0.2">
      <c r="A495" s="3"/>
      <c r="B495" s="3"/>
      <c r="C495" s="3"/>
      <c r="D495" s="3"/>
      <c r="E495" s="3"/>
      <c r="F495" s="3"/>
      <c r="G495" s="3"/>
      <c r="H495" s="3"/>
      <c r="I495" s="3"/>
      <c r="J495" s="3"/>
      <c r="K495" s="3"/>
    </row>
    <row r="496" spans="1:11" hidden="1" x14ac:dyDescent="0.2">
      <c r="A496" s="3"/>
      <c r="B496" s="3"/>
      <c r="C496" s="3"/>
      <c r="D496" s="3"/>
      <c r="E496" s="3"/>
      <c r="F496" s="3"/>
      <c r="G496" s="3"/>
      <c r="H496" s="3"/>
      <c r="I496" s="3"/>
      <c r="J496" s="3"/>
      <c r="K496" s="3"/>
    </row>
    <row r="497" spans="1:11" hidden="1" x14ac:dyDescent="0.2">
      <c r="A497" s="3"/>
      <c r="B497" s="3"/>
      <c r="C497" s="3"/>
      <c r="D497" s="3"/>
      <c r="E497" s="3"/>
      <c r="F497" s="3"/>
      <c r="G497" s="3"/>
      <c r="H497" s="3"/>
      <c r="I497" s="3"/>
      <c r="J497" s="3"/>
      <c r="K497" s="3"/>
    </row>
    <row r="498" spans="1:11" hidden="1" x14ac:dyDescent="0.2">
      <c r="A498" s="3"/>
      <c r="B498" s="3"/>
      <c r="C498" s="3"/>
      <c r="D498" s="3"/>
      <c r="E498" s="3"/>
      <c r="F498" s="3"/>
      <c r="G498" s="3"/>
      <c r="H498" s="3"/>
      <c r="I498" s="3"/>
      <c r="J498" s="3"/>
      <c r="K498" s="3"/>
    </row>
    <row r="499" spans="1:11" hidden="1" x14ac:dyDescent="0.2">
      <c r="A499" s="3"/>
      <c r="B499" s="3"/>
      <c r="C499" s="3"/>
      <c r="D499" s="3"/>
      <c r="E499" s="3"/>
      <c r="F499" s="3"/>
      <c r="G499" s="3"/>
      <c r="H499" s="3"/>
      <c r="I499" s="3"/>
      <c r="J499" s="3"/>
      <c r="K499" s="3"/>
    </row>
    <row r="500" spans="1:11" hidden="1" x14ac:dyDescent="0.2">
      <c r="A500" s="3"/>
      <c r="B500" s="3"/>
      <c r="C500" s="3"/>
      <c r="D500" s="3"/>
      <c r="E500" s="3"/>
      <c r="F500" s="3"/>
      <c r="G500" s="3"/>
      <c r="H500" s="3"/>
      <c r="I500" s="3"/>
      <c r="J500" s="3"/>
      <c r="K500" s="3"/>
    </row>
    <row r="501" spans="1:11" hidden="1" x14ac:dyDescent="0.2">
      <c r="A501" s="3"/>
      <c r="B501" s="3"/>
      <c r="C501" s="3"/>
      <c r="D501" s="3"/>
      <c r="E501" s="3"/>
      <c r="F501" s="3"/>
      <c r="G501" s="3"/>
      <c r="H501" s="3"/>
      <c r="I501" s="3"/>
      <c r="J501" s="3"/>
      <c r="K501" s="3"/>
    </row>
    <row r="502" spans="1:11" hidden="1" x14ac:dyDescent="0.2">
      <c r="A502" s="3"/>
      <c r="B502" s="3"/>
      <c r="C502" s="3"/>
      <c r="D502" s="3"/>
      <c r="E502" s="3"/>
      <c r="F502" s="3"/>
      <c r="G502" s="3"/>
      <c r="H502" s="3"/>
      <c r="I502" s="3"/>
      <c r="J502" s="3"/>
      <c r="K502" s="3"/>
    </row>
    <row r="503" spans="1:11" hidden="1" x14ac:dyDescent="0.2">
      <c r="A503" s="3"/>
      <c r="B503" s="3"/>
      <c r="C503" s="3"/>
      <c r="D503" s="3"/>
      <c r="E503" s="3"/>
      <c r="F503" s="3"/>
      <c r="G503" s="3"/>
      <c r="H503" s="3"/>
      <c r="I503" s="3"/>
      <c r="J503" s="3"/>
      <c r="K503" s="3"/>
    </row>
    <row r="504" spans="1:11" hidden="1" x14ac:dyDescent="0.2">
      <c r="A504" s="3"/>
      <c r="B504" s="3"/>
      <c r="C504" s="3"/>
      <c r="D504" s="3"/>
      <c r="E504" s="3"/>
      <c r="F504" s="3"/>
      <c r="G504" s="3"/>
      <c r="H504" s="3"/>
      <c r="I504" s="3"/>
      <c r="J504" s="3"/>
      <c r="K504" s="3"/>
    </row>
    <row r="505" spans="1:11" hidden="1" x14ac:dyDescent="0.2">
      <c r="A505" s="3"/>
      <c r="B505" s="3"/>
      <c r="C505" s="3"/>
      <c r="D505" s="3"/>
      <c r="E505" s="3"/>
      <c r="F505" s="3"/>
      <c r="G505" s="3"/>
      <c r="H505" s="3"/>
      <c r="I505" s="3"/>
      <c r="J505" s="3"/>
      <c r="K505" s="3"/>
    </row>
    <row r="506" spans="1:11" hidden="1" x14ac:dyDescent="0.2">
      <c r="A506" s="3"/>
      <c r="B506" s="3"/>
      <c r="C506" s="3"/>
      <c r="D506" s="3"/>
      <c r="E506" s="3"/>
      <c r="F506" s="3"/>
      <c r="G506" s="3"/>
      <c r="H506" s="3"/>
      <c r="I506" s="3"/>
      <c r="J506" s="3"/>
      <c r="K506" s="3"/>
    </row>
    <row r="507" spans="1:11" hidden="1" x14ac:dyDescent="0.2">
      <c r="A507" s="3"/>
      <c r="B507" s="3"/>
      <c r="C507" s="3"/>
      <c r="D507" s="3"/>
      <c r="E507" s="3"/>
      <c r="F507" s="3"/>
      <c r="G507" s="3"/>
      <c r="H507" s="3"/>
      <c r="I507" s="3"/>
      <c r="J507" s="3"/>
      <c r="K507" s="3"/>
    </row>
    <row r="508" spans="1:11" hidden="1" x14ac:dyDescent="0.2">
      <c r="A508" s="3"/>
      <c r="B508" s="3"/>
      <c r="C508" s="3"/>
      <c r="D508" s="3"/>
      <c r="E508" s="3"/>
      <c r="F508" s="3"/>
      <c r="G508" s="3"/>
      <c r="H508" s="3"/>
      <c r="I508" s="3"/>
      <c r="J508" s="3"/>
      <c r="K508" s="3"/>
    </row>
    <row r="509" spans="1:11" hidden="1" x14ac:dyDescent="0.2">
      <c r="A509" s="3"/>
      <c r="B509" s="3"/>
      <c r="C509" s="3"/>
      <c r="D509" s="3"/>
      <c r="E509" s="3"/>
      <c r="F509" s="3"/>
      <c r="G509" s="3"/>
      <c r="H509" s="3"/>
      <c r="I509" s="3"/>
      <c r="J509" s="3"/>
      <c r="K509" s="3"/>
    </row>
    <row r="510" spans="1:11" hidden="1" x14ac:dyDescent="0.2">
      <c r="A510" s="3"/>
      <c r="B510" s="3"/>
      <c r="C510" s="3"/>
      <c r="D510" s="3"/>
      <c r="E510" s="3"/>
      <c r="F510" s="3"/>
      <c r="G510" s="3"/>
      <c r="H510" s="3"/>
      <c r="I510" s="3"/>
      <c r="J510" s="3"/>
      <c r="K510" s="3"/>
    </row>
    <row r="511" spans="1:11" hidden="1" x14ac:dyDescent="0.2">
      <c r="A511" s="3"/>
      <c r="B511" s="3"/>
      <c r="C511" s="3"/>
      <c r="D511" s="3"/>
      <c r="E511" s="3"/>
      <c r="F511" s="3"/>
      <c r="G511" s="3"/>
      <c r="H511" s="3"/>
      <c r="I511" s="3"/>
      <c r="J511" s="3"/>
      <c r="K511" s="3"/>
    </row>
    <row r="512" spans="1:11" hidden="1" x14ac:dyDescent="0.2">
      <c r="A512" s="3"/>
      <c r="B512" s="3"/>
      <c r="C512" s="3"/>
      <c r="D512" s="3"/>
      <c r="E512" s="3"/>
      <c r="F512" s="3"/>
      <c r="G512" s="3"/>
      <c r="H512" s="3"/>
      <c r="I512" s="3"/>
      <c r="J512" s="3"/>
      <c r="K512" s="3"/>
    </row>
    <row r="513" spans="1:11" hidden="1" x14ac:dyDescent="0.2">
      <c r="A513" s="3"/>
      <c r="B513" s="3"/>
      <c r="C513" s="3"/>
      <c r="D513" s="3"/>
      <c r="E513" s="3"/>
      <c r="F513" s="3"/>
      <c r="G513" s="3"/>
      <c r="H513" s="3"/>
      <c r="I513" s="3"/>
      <c r="J513" s="3"/>
      <c r="K513" s="3"/>
    </row>
    <row r="514" spans="1:11" hidden="1" x14ac:dyDescent="0.2">
      <c r="A514" s="3"/>
      <c r="B514" s="3"/>
      <c r="C514" s="3"/>
      <c r="D514" s="3"/>
      <c r="E514" s="3"/>
      <c r="F514" s="3"/>
      <c r="G514" s="3"/>
      <c r="H514" s="3"/>
      <c r="I514" s="3"/>
      <c r="J514" s="3"/>
      <c r="K514" s="3"/>
    </row>
    <row r="515" spans="1:11" hidden="1" x14ac:dyDescent="0.2">
      <c r="A515" s="3"/>
      <c r="B515" s="3"/>
      <c r="C515" s="3"/>
      <c r="D515" s="3"/>
      <c r="E515" s="3"/>
      <c r="F515" s="3"/>
      <c r="G515" s="3"/>
      <c r="H515" s="3"/>
      <c r="I515" s="3"/>
      <c r="J515" s="3"/>
      <c r="K515" s="3"/>
    </row>
    <row r="516" spans="1:11" hidden="1" x14ac:dyDescent="0.2">
      <c r="A516" s="3"/>
      <c r="B516" s="3"/>
      <c r="C516" s="3"/>
      <c r="D516" s="3"/>
      <c r="E516" s="3"/>
      <c r="F516" s="3"/>
      <c r="G516" s="3"/>
      <c r="H516" s="3"/>
      <c r="I516" s="3"/>
      <c r="J516" s="3"/>
      <c r="K516" s="3"/>
    </row>
    <row r="517" spans="1:11" hidden="1" x14ac:dyDescent="0.2">
      <c r="A517" s="3"/>
      <c r="B517" s="3"/>
      <c r="C517" s="3"/>
      <c r="D517" s="3"/>
      <c r="E517" s="3"/>
      <c r="F517" s="3"/>
      <c r="G517" s="3"/>
      <c r="H517" s="3"/>
      <c r="I517" s="3"/>
      <c r="J517" s="3"/>
      <c r="K517" s="3"/>
    </row>
    <row r="518" spans="1:11" hidden="1" x14ac:dyDescent="0.2">
      <c r="A518" s="3"/>
      <c r="B518" s="3"/>
      <c r="C518" s="3"/>
      <c r="D518" s="3"/>
      <c r="E518" s="3"/>
      <c r="F518" s="3"/>
      <c r="G518" s="3"/>
      <c r="H518" s="3"/>
      <c r="I518" s="3"/>
      <c r="J518" s="3"/>
      <c r="K518" s="3"/>
    </row>
    <row r="519" spans="1:11" hidden="1" x14ac:dyDescent="0.2">
      <c r="A519" s="3"/>
      <c r="B519" s="3"/>
      <c r="C519" s="3"/>
      <c r="D519" s="3"/>
      <c r="E519" s="3"/>
      <c r="F519" s="3"/>
      <c r="G519" s="3"/>
      <c r="H519" s="3"/>
      <c r="I519" s="3"/>
      <c r="J519" s="3"/>
      <c r="K519" s="3"/>
    </row>
    <row r="520" spans="1:11" hidden="1" x14ac:dyDescent="0.2">
      <c r="A520" s="3"/>
      <c r="B520" s="3"/>
      <c r="C520" s="3"/>
      <c r="D520" s="3"/>
      <c r="E520" s="3"/>
      <c r="F520" s="3"/>
      <c r="G520" s="3"/>
      <c r="H520" s="3"/>
      <c r="I520" s="3"/>
      <c r="J520" s="3"/>
      <c r="K520" s="3"/>
    </row>
    <row r="521" spans="1:11" hidden="1" x14ac:dyDescent="0.2">
      <c r="A521" s="3"/>
      <c r="B521" s="3"/>
      <c r="C521" s="3"/>
      <c r="D521" s="3"/>
      <c r="E521" s="3"/>
      <c r="F521" s="3"/>
      <c r="G521" s="3"/>
      <c r="H521" s="3"/>
      <c r="I521" s="3"/>
      <c r="J521" s="3"/>
      <c r="K521" s="3"/>
    </row>
    <row r="522" spans="1:11" hidden="1" x14ac:dyDescent="0.2">
      <c r="A522" s="3"/>
      <c r="B522" s="3"/>
      <c r="C522" s="3"/>
      <c r="D522" s="3"/>
      <c r="E522" s="3"/>
      <c r="F522" s="3"/>
      <c r="G522" s="3"/>
      <c r="H522" s="3"/>
      <c r="I522" s="3"/>
      <c r="J522" s="3"/>
      <c r="K522" s="3"/>
    </row>
    <row r="523" spans="1:11" hidden="1" x14ac:dyDescent="0.2">
      <c r="A523" s="3"/>
      <c r="B523" s="3"/>
      <c r="C523" s="3"/>
      <c r="D523" s="3"/>
      <c r="E523" s="3"/>
      <c r="F523" s="3"/>
      <c r="G523" s="3"/>
      <c r="H523" s="3"/>
      <c r="I523" s="3"/>
      <c r="J523" s="3"/>
      <c r="K523" s="3"/>
    </row>
    <row r="524" spans="1:11" hidden="1" x14ac:dyDescent="0.2">
      <c r="A524" s="3"/>
      <c r="B524" s="3"/>
      <c r="C524" s="3"/>
      <c r="D524" s="3"/>
      <c r="E524" s="3"/>
      <c r="F524" s="3"/>
      <c r="G524" s="3"/>
      <c r="H524" s="3"/>
      <c r="I524" s="3"/>
      <c r="J524" s="3"/>
      <c r="K524" s="3"/>
    </row>
    <row r="525" spans="1:11" hidden="1" x14ac:dyDescent="0.2">
      <c r="A525" s="3"/>
      <c r="B525" s="3"/>
      <c r="C525" s="3"/>
      <c r="D525" s="3"/>
      <c r="E525" s="3"/>
      <c r="F525" s="3"/>
      <c r="G525" s="3"/>
      <c r="H525" s="3"/>
      <c r="I525" s="3"/>
      <c r="J525" s="3"/>
      <c r="K525" s="3"/>
    </row>
    <row r="526" spans="1:11" hidden="1" x14ac:dyDescent="0.2">
      <c r="A526" s="3"/>
      <c r="B526" s="3"/>
      <c r="C526" s="3"/>
      <c r="D526" s="3"/>
      <c r="E526" s="3"/>
      <c r="F526" s="3"/>
      <c r="G526" s="3"/>
      <c r="H526" s="3"/>
      <c r="I526" s="3"/>
      <c r="J526" s="3"/>
      <c r="K526" s="3"/>
    </row>
    <row r="527" spans="1:11" hidden="1" x14ac:dyDescent="0.2">
      <c r="A527" s="3"/>
      <c r="B527" s="3"/>
      <c r="C527" s="3"/>
      <c r="D527" s="3"/>
      <c r="E527" s="3"/>
      <c r="F527" s="3"/>
      <c r="G527" s="3"/>
      <c r="H527" s="3"/>
      <c r="I527" s="3"/>
      <c r="J527" s="3"/>
      <c r="K527" s="3"/>
    </row>
    <row r="528" spans="1:11" hidden="1" x14ac:dyDescent="0.2">
      <c r="A528" s="3"/>
      <c r="B528" s="3"/>
      <c r="C528" s="3"/>
      <c r="D528" s="3"/>
      <c r="E528" s="3"/>
      <c r="F528" s="3"/>
      <c r="G528" s="3"/>
      <c r="H528" s="3"/>
      <c r="I528" s="3"/>
      <c r="J528" s="3"/>
      <c r="K528" s="3"/>
    </row>
    <row r="529" spans="1:11" hidden="1" x14ac:dyDescent="0.2">
      <c r="A529" s="3"/>
      <c r="B529" s="3"/>
      <c r="C529" s="3"/>
      <c r="D529" s="3"/>
      <c r="E529" s="3"/>
      <c r="F529" s="3"/>
      <c r="G529" s="3"/>
      <c r="H529" s="3"/>
      <c r="I529" s="3"/>
      <c r="J529" s="3"/>
      <c r="K529" s="3"/>
    </row>
    <row r="530" spans="1:11" hidden="1" x14ac:dyDescent="0.2">
      <c r="A530" s="3"/>
      <c r="B530" s="3"/>
      <c r="C530" s="3"/>
      <c r="D530" s="3"/>
      <c r="E530" s="3"/>
      <c r="F530" s="3"/>
      <c r="G530" s="3"/>
      <c r="H530" s="3"/>
      <c r="I530" s="3"/>
      <c r="J530" s="3"/>
      <c r="K530" s="3"/>
    </row>
    <row r="531" spans="1:11" hidden="1" x14ac:dyDescent="0.2">
      <c r="A531" s="3"/>
      <c r="B531" s="3"/>
      <c r="C531" s="3"/>
      <c r="D531" s="3"/>
      <c r="E531" s="3"/>
      <c r="F531" s="3"/>
      <c r="G531" s="3"/>
      <c r="H531" s="3"/>
      <c r="I531" s="3"/>
      <c r="J531" s="3"/>
      <c r="K531" s="3"/>
    </row>
    <row r="532" spans="1:11" hidden="1" x14ac:dyDescent="0.2">
      <c r="A532" s="3"/>
      <c r="B532" s="3"/>
      <c r="C532" s="3"/>
      <c r="D532" s="3"/>
      <c r="E532" s="3"/>
      <c r="F532" s="3"/>
      <c r="G532" s="3"/>
      <c r="H532" s="3"/>
      <c r="I532" s="3"/>
      <c r="J532" s="3"/>
      <c r="K532" s="3"/>
    </row>
    <row r="533" spans="1:11" hidden="1" x14ac:dyDescent="0.2">
      <c r="A533" s="3"/>
      <c r="B533" s="3"/>
      <c r="C533" s="3"/>
      <c r="D533" s="3"/>
      <c r="E533" s="3"/>
      <c r="F533" s="3"/>
      <c r="G533" s="3"/>
      <c r="H533" s="3"/>
      <c r="I533" s="3"/>
      <c r="J533" s="3"/>
      <c r="K533" s="3"/>
    </row>
    <row r="534" spans="1:11" hidden="1" x14ac:dyDescent="0.2">
      <c r="A534" s="3"/>
      <c r="B534" s="3"/>
      <c r="C534" s="3"/>
      <c r="D534" s="3"/>
      <c r="E534" s="3"/>
      <c r="F534" s="3"/>
      <c r="G534" s="3"/>
      <c r="H534" s="3"/>
      <c r="I534" s="3"/>
      <c r="J534" s="3"/>
      <c r="K534" s="3"/>
    </row>
    <row r="535" spans="1:11" hidden="1" x14ac:dyDescent="0.2">
      <c r="A535" s="3"/>
      <c r="B535" s="3"/>
      <c r="C535" s="3"/>
      <c r="D535" s="3"/>
      <c r="E535" s="3"/>
      <c r="F535" s="3"/>
      <c r="G535" s="3"/>
      <c r="H535" s="3"/>
      <c r="I535" s="3"/>
      <c r="J535" s="3"/>
      <c r="K535" s="3"/>
    </row>
    <row r="536" spans="1:11" hidden="1" x14ac:dyDescent="0.2">
      <c r="A536" s="3"/>
      <c r="B536" s="3"/>
      <c r="C536" s="3"/>
      <c r="D536" s="3"/>
      <c r="E536" s="3"/>
      <c r="F536" s="3"/>
      <c r="G536" s="3"/>
      <c r="H536" s="3"/>
      <c r="I536" s="3"/>
      <c r="J536" s="3"/>
      <c r="K536" s="3"/>
    </row>
    <row r="537" spans="1:11" hidden="1" x14ac:dyDescent="0.2">
      <c r="A537" s="3"/>
      <c r="B537" s="3"/>
      <c r="C537" s="3"/>
      <c r="D537" s="3"/>
      <c r="E537" s="3"/>
      <c r="F537" s="3"/>
      <c r="G537" s="3"/>
      <c r="H537" s="3"/>
      <c r="I537" s="3"/>
      <c r="J537" s="3"/>
      <c r="K537" s="3"/>
    </row>
    <row r="538" spans="1:11" hidden="1" x14ac:dyDescent="0.2">
      <c r="A538" s="3"/>
      <c r="B538" s="3"/>
      <c r="C538" s="3"/>
      <c r="D538" s="3"/>
      <c r="E538" s="3"/>
      <c r="F538" s="3"/>
      <c r="G538" s="3"/>
      <c r="H538" s="3"/>
      <c r="I538" s="3"/>
      <c r="J538" s="3"/>
      <c r="K538" s="3"/>
    </row>
    <row r="539" spans="1:11" hidden="1" x14ac:dyDescent="0.2">
      <c r="A539" s="3"/>
      <c r="B539" s="3"/>
      <c r="C539" s="3"/>
      <c r="D539" s="3"/>
      <c r="E539" s="3"/>
      <c r="F539" s="3"/>
      <c r="G539" s="3"/>
      <c r="H539" s="3"/>
      <c r="I539" s="3"/>
      <c r="J539" s="3"/>
      <c r="K539" s="3"/>
    </row>
    <row r="540" spans="1:11" hidden="1" x14ac:dyDescent="0.2">
      <c r="A540" s="3"/>
      <c r="B540" s="3"/>
      <c r="C540" s="3"/>
      <c r="D540" s="3"/>
      <c r="E540" s="3"/>
      <c r="F540" s="3"/>
      <c r="G540" s="3"/>
      <c r="H540" s="3"/>
      <c r="I540" s="3"/>
      <c r="J540" s="3"/>
      <c r="K540" s="3"/>
    </row>
    <row r="541" spans="1:11" hidden="1" x14ac:dyDescent="0.2">
      <c r="A541" s="3"/>
      <c r="B541" s="3"/>
      <c r="C541" s="3"/>
      <c r="D541" s="3"/>
      <c r="E541" s="3"/>
      <c r="F541" s="3"/>
      <c r="G541" s="3"/>
      <c r="H541" s="3"/>
      <c r="I541" s="3"/>
      <c r="J541" s="3"/>
      <c r="K541" s="3"/>
    </row>
    <row r="542" spans="1:11" hidden="1" x14ac:dyDescent="0.2">
      <c r="A542" s="3"/>
      <c r="B542" s="3"/>
      <c r="C542" s="3"/>
      <c r="D542" s="3"/>
      <c r="E542" s="3"/>
      <c r="F542" s="3"/>
      <c r="G542" s="3"/>
      <c r="H542" s="3"/>
      <c r="I542" s="3"/>
      <c r="J542" s="3"/>
      <c r="K542" s="3"/>
    </row>
    <row r="543" spans="1:11" hidden="1" x14ac:dyDescent="0.2">
      <c r="A543" s="3"/>
      <c r="B543" s="3"/>
      <c r="C543" s="3"/>
      <c r="D543" s="3"/>
      <c r="E543" s="3"/>
      <c r="F543" s="3"/>
      <c r="G543" s="3"/>
      <c r="H543" s="3"/>
      <c r="I543" s="3"/>
      <c r="J543" s="3"/>
      <c r="K543" s="3"/>
    </row>
    <row r="544" spans="1:11" hidden="1" x14ac:dyDescent="0.2">
      <c r="A544" s="3"/>
      <c r="B544" s="3"/>
      <c r="C544" s="3"/>
      <c r="D544" s="3"/>
      <c r="E544" s="3"/>
      <c r="F544" s="3"/>
      <c r="G544" s="3"/>
      <c r="H544" s="3"/>
      <c r="I544" s="3"/>
      <c r="J544" s="3"/>
      <c r="K544" s="3"/>
    </row>
    <row r="545" spans="1:11" hidden="1" x14ac:dyDescent="0.2">
      <c r="A545" s="3"/>
      <c r="B545" s="3"/>
      <c r="C545" s="3"/>
      <c r="D545" s="3"/>
      <c r="E545" s="3"/>
      <c r="F545" s="3"/>
      <c r="G545" s="3"/>
      <c r="H545" s="3"/>
      <c r="I545" s="3"/>
      <c r="J545" s="3"/>
      <c r="K545" s="3"/>
    </row>
    <row r="546" spans="1:11" hidden="1" x14ac:dyDescent="0.2">
      <c r="A546" s="3"/>
      <c r="B546" s="3"/>
      <c r="C546" s="3"/>
      <c r="D546" s="3"/>
      <c r="E546" s="3"/>
      <c r="F546" s="3"/>
      <c r="G546" s="3"/>
      <c r="H546" s="3"/>
      <c r="I546" s="3"/>
      <c r="J546" s="3"/>
      <c r="K546" s="3"/>
    </row>
    <row r="547" spans="1:11" hidden="1" x14ac:dyDescent="0.2">
      <c r="A547" s="3"/>
      <c r="B547" s="3"/>
      <c r="C547" s="3"/>
      <c r="D547" s="3"/>
      <c r="E547" s="3"/>
      <c r="F547" s="3"/>
      <c r="G547" s="3"/>
      <c r="H547" s="3"/>
      <c r="I547" s="3"/>
      <c r="J547" s="3"/>
      <c r="K547" s="3"/>
    </row>
    <row r="548" spans="1:11" hidden="1" x14ac:dyDescent="0.2">
      <c r="A548" s="3"/>
      <c r="B548" s="3"/>
      <c r="C548" s="3"/>
      <c r="D548" s="3"/>
      <c r="E548" s="3"/>
      <c r="F548" s="3"/>
      <c r="G548" s="3"/>
      <c r="H548" s="3"/>
      <c r="I548" s="3"/>
      <c r="J548" s="3"/>
      <c r="K548" s="3"/>
    </row>
    <row r="549" spans="1:11" hidden="1" x14ac:dyDescent="0.2">
      <c r="A549" s="3"/>
      <c r="B549" s="3"/>
      <c r="C549" s="3"/>
      <c r="D549" s="3"/>
      <c r="E549" s="3"/>
      <c r="F549" s="3"/>
      <c r="G549" s="3"/>
      <c r="H549" s="3"/>
      <c r="I549" s="3"/>
      <c r="J549" s="3"/>
      <c r="K549" s="3"/>
    </row>
    <row r="550" spans="1:11" hidden="1" x14ac:dyDescent="0.2">
      <c r="A550" s="3"/>
      <c r="B550" s="3"/>
      <c r="C550" s="3"/>
      <c r="D550" s="3"/>
      <c r="E550" s="3"/>
      <c r="F550" s="3"/>
      <c r="G550" s="3"/>
      <c r="H550" s="3"/>
      <c r="I550" s="3"/>
      <c r="J550" s="3"/>
      <c r="K550" s="3"/>
    </row>
    <row r="551" spans="1:11" hidden="1" x14ac:dyDescent="0.2">
      <c r="A551" s="3"/>
      <c r="B551" s="3"/>
      <c r="C551" s="3"/>
      <c r="D551" s="3"/>
      <c r="E551" s="3"/>
      <c r="F551" s="3"/>
      <c r="G551" s="3"/>
      <c r="H551" s="3"/>
      <c r="I551" s="3"/>
      <c r="J551" s="3"/>
      <c r="K551" s="3"/>
    </row>
    <row r="552" spans="1:11" hidden="1" x14ac:dyDescent="0.2">
      <c r="A552" s="3"/>
      <c r="B552" s="3"/>
      <c r="C552" s="3"/>
      <c r="D552" s="3"/>
      <c r="E552" s="3"/>
      <c r="F552" s="3"/>
      <c r="G552" s="3"/>
      <c r="H552" s="3"/>
      <c r="I552" s="3"/>
      <c r="J552" s="3"/>
      <c r="K552" s="3"/>
    </row>
    <row r="553" spans="1:11" hidden="1" x14ac:dyDescent="0.2">
      <c r="A553" s="3"/>
      <c r="B553" s="3"/>
      <c r="C553" s="3"/>
      <c r="D553" s="3"/>
      <c r="E553" s="3"/>
      <c r="F553" s="3"/>
      <c r="G553" s="3"/>
      <c r="H553" s="3"/>
      <c r="I553" s="3"/>
      <c r="J553" s="3"/>
      <c r="K553" s="3"/>
    </row>
    <row r="554" spans="1:11" hidden="1" x14ac:dyDescent="0.2">
      <c r="A554" s="3"/>
      <c r="B554" s="3"/>
      <c r="C554" s="3"/>
      <c r="D554" s="3"/>
      <c r="E554" s="3"/>
      <c r="F554" s="3"/>
      <c r="G554" s="3"/>
      <c r="H554" s="3"/>
      <c r="I554" s="3"/>
      <c r="J554" s="3"/>
      <c r="K554" s="3"/>
    </row>
    <row r="555" spans="1:11" hidden="1" x14ac:dyDescent="0.2">
      <c r="A555" s="3"/>
      <c r="B555" s="3"/>
      <c r="C555" s="3"/>
      <c r="D555" s="3"/>
      <c r="E555" s="3"/>
      <c r="F555" s="3"/>
      <c r="G555" s="3"/>
      <c r="H555" s="3"/>
      <c r="I555" s="3"/>
      <c r="J555" s="3"/>
      <c r="K555" s="3"/>
    </row>
    <row r="556" spans="1:11" hidden="1" x14ac:dyDescent="0.2">
      <c r="A556" s="3"/>
      <c r="B556" s="3"/>
      <c r="C556" s="3"/>
      <c r="D556" s="3"/>
      <c r="E556" s="3"/>
      <c r="F556" s="3"/>
      <c r="G556" s="3"/>
      <c r="H556" s="3"/>
      <c r="I556" s="3"/>
      <c r="J556" s="3"/>
      <c r="K556" s="3"/>
    </row>
    <row r="557" spans="1:11" hidden="1" x14ac:dyDescent="0.2">
      <c r="A557" s="3"/>
      <c r="B557" s="3"/>
      <c r="C557" s="3"/>
      <c r="D557" s="3"/>
      <c r="E557" s="3"/>
      <c r="F557" s="3"/>
      <c r="G557" s="3"/>
      <c r="H557" s="3"/>
      <c r="I557" s="3"/>
      <c r="J557" s="3"/>
      <c r="K557" s="3"/>
    </row>
    <row r="558" spans="1:11" hidden="1" x14ac:dyDescent="0.2">
      <c r="A558" s="3"/>
      <c r="B558" s="3"/>
      <c r="C558" s="3"/>
      <c r="D558" s="3"/>
      <c r="E558" s="3"/>
      <c r="F558" s="3"/>
      <c r="G558" s="3"/>
      <c r="H558" s="3"/>
      <c r="I558" s="3"/>
      <c r="J558" s="3"/>
      <c r="K558" s="3"/>
    </row>
    <row r="559" spans="1:11" hidden="1" x14ac:dyDescent="0.2">
      <c r="A559" s="3"/>
      <c r="B559" s="3"/>
      <c r="C559" s="3"/>
      <c r="D559" s="3"/>
      <c r="E559" s="3"/>
      <c r="F559" s="3"/>
      <c r="G559" s="3"/>
      <c r="H559" s="3"/>
      <c r="I559" s="3"/>
      <c r="J559" s="3"/>
      <c r="K559" s="3"/>
    </row>
    <row r="560" spans="1:11" hidden="1" x14ac:dyDescent="0.2">
      <c r="A560" s="3"/>
      <c r="B560" s="3"/>
      <c r="C560" s="3"/>
      <c r="D560" s="3"/>
      <c r="E560" s="3"/>
      <c r="F560" s="3"/>
      <c r="G560" s="3"/>
      <c r="H560" s="3"/>
      <c r="I560" s="3"/>
      <c r="J560" s="3"/>
      <c r="K560" s="3"/>
    </row>
    <row r="561" spans="1:11" hidden="1" x14ac:dyDescent="0.2">
      <c r="A561" s="3"/>
      <c r="B561" s="3"/>
      <c r="C561" s="3"/>
      <c r="D561" s="3"/>
      <c r="E561" s="3"/>
      <c r="F561" s="3"/>
      <c r="G561" s="3"/>
      <c r="H561" s="3"/>
      <c r="I561" s="3"/>
      <c r="J561" s="3"/>
      <c r="K561" s="3"/>
    </row>
    <row r="562" spans="1:11" hidden="1" x14ac:dyDescent="0.2">
      <c r="A562" s="3"/>
      <c r="B562" s="3"/>
      <c r="C562" s="3"/>
      <c r="D562" s="3"/>
      <c r="E562" s="3"/>
      <c r="F562" s="3"/>
      <c r="G562" s="3"/>
      <c r="H562" s="3"/>
      <c r="I562" s="3"/>
      <c r="J562" s="3"/>
      <c r="K562" s="3"/>
    </row>
    <row r="563" spans="1:11" hidden="1" x14ac:dyDescent="0.2">
      <c r="A563" s="3"/>
      <c r="B563" s="3"/>
      <c r="C563" s="3"/>
      <c r="D563" s="3"/>
      <c r="E563" s="3"/>
      <c r="F563" s="3"/>
      <c r="G563" s="3"/>
      <c r="H563" s="3"/>
      <c r="I563" s="3"/>
      <c r="J563" s="3"/>
      <c r="K563" s="3"/>
    </row>
    <row r="564" spans="1:11" hidden="1" x14ac:dyDescent="0.2">
      <c r="A564" s="3"/>
      <c r="B564" s="3"/>
      <c r="C564" s="3"/>
      <c r="D564" s="3"/>
      <c r="E564" s="3"/>
      <c r="F564" s="3"/>
      <c r="G564" s="3"/>
      <c r="H564" s="3"/>
      <c r="I564" s="3"/>
      <c r="J564" s="3"/>
      <c r="K564" s="3"/>
    </row>
    <row r="565" spans="1:11" hidden="1" x14ac:dyDescent="0.2">
      <c r="A565" s="3"/>
      <c r="B565" s="3"/>
      <c r="C565" s="3"/>
      <c r="D565" s="3"/>
      <c r="E565" s="3"/>
      <c r="F565" s="3"/>
      <c r="G565" s="3"/>
      <c r="H565" s="3"/>
      <c r="I565" s="3"/>
      <c r="J565" s="3"/>
      <c r="K565" s="3"/>
    </row>
    <row r="566" spans="1:11" hidden="1" x14ac:dyDescent="0.2">
      <c r="A566" s="3"/>
      <c r="B566" s="3"/>
      <c r="C566" s="3"/>
      <c r="D566" s="3"/>
      <c r="E566" s="3"/>
      <c r="F566" s="3"/>
      <c r="G566" s="3"/>
      <c r="H566" s="3"/>
      <c r="I566" s="3"/>
      <c r="J566" s="3"/>
      <c r="K566" s="3"/>
    </row>
    <row r="567" spans="1:11" hidden="1" x14ac:dyDescent="0.2">
      <c r="A567" s="3"/>
      <c r="B567" s="3"/>
      <c r="C567" s="3"/>
      <c r="D567" s="3"/>
      <c r="E567" s="3"/>
      <c r="F567" s="3"/>
      <c r="G567" s="3"/>
      <c r="H567" s="3"/>
      <c r="I567" s="3"/>
      <c r="J567" s="3"/>
      <c r="K567" s="3"/>
    </row>
    <row r="568" spans="1:11" hidden="1" x14ac:dyDescent="0.2">
      <c r="A568" s="3"/>
      <c r="B568" s="3"/>
      <c r="C568" s="3"/>
      <c r="D568" s="3"/>
      <c r="E568" s="3"/>
      <c r="F568" s="3"/>
      <c r="G568" s="3"/>
      <c r="H568" s="3"/>
      <c r="I568" s="3"/>
      <c r="J568" s="3"/>
      <c r="K568" s="3"/>
    </row>
    <row r="569" spans="1:11" hidden="1" x14ac:dyDescent="0.2">
      <c r="A569" s="3"/>
      <c r="B569" s="3"/>
      <c r="C569" s="3"/>
      <c r="D569" s="3"/>
      <c r="E569" s="3"/>
      <c r="F569" s="3"/>
      <c r="G569" s="3"/>
      <c r="H569" s="3"/>
      <c r="I569" s="3"/>
      <c r="J569" s="3"/>
      <c r="K569" s="3"/>
    </row>
    <row r="570" spans="1:11" hidden="1" x14ac:dyDescent="0.2">
      <c r="A570" s="3"/>
      <c r="B570" s="3"/>
      <c r="C570" s="3"/>
      <c r="D570" s="3"/>
      <c r="E570" s="3"/>
      <c r="F570" s="3"/>
      <c r="G570" s="3"/>
      <c r="H570" s="3"/>
      <c r="I570" s="3"/>
      <c r="J570" s="3"/>
      <c r="K570" s="3"/>
    </row>
    <row r="571" spans="1:11" hidden="1" x14ac:dyDescent="0.2">
      <c r="A571" s="3"/>
      <c r="B571" s="3"/>
      <c r="C571" s="3"/>
      <c r="D571" s="3"/>
      <c r="E571" s="3"/>
      <c r="F571" s="3"/>
      <c r="G571" s="3"/>
      <c r="H571" s="3"/>
      <c r="I571" s="3"/>
      <c r="J571" s="3"/>
      <c r="K571" s="3"/>
    </row>
    <row r="572" spans="1:11" hidden="1" x14ac:dyDescent="0.2">
      <c r="A572" s="3"/>
      <c r="B572" s="3"/>
      <c r="C572" s="3"/>
      <c r="D572" s="3"/>
      <c r="E572" s="3"/>
      <c r="F572" s="3"/>
      <c r="G572" s="3"/>
      <c r="H572" s="3"/>
      <c r="I572" s="3"/>
      <c r="J572" s="3"/>
      <c r="K572" s="3"/>
    </row>
    <row r="573" spans="1:11" hidden="1" x14ac:dyDescent="0.2">
      <c r="A573" s="3"/>
      <c r="B573" s="3"/>
      <c r="C573" s="3"/>
      <c r="D573" s="3"/>
      <c r="E573" s="3"/>
      <c r="F573" s="3"/>
      <c r="G573" s="3"/>
      <c r="H573" s="3"/>
      <c r="I573" s="3"/>
      <c r="J573" s="3"/>
      <c r="K573" s="3"/>
    </row>
    <row r="574" spans="1:11" hidden="1" x14ac:dyDescent="0.2">
      <c r="A574" s="3"/>
      <c r="B574" s="3"/>
      <c r="C574" s="3"/>
      <c r="D574" s="3"/>
      <c r="E574" s="3"/>
      <c r="F574" s="3"/>
      <c r="G574" s="3"/>
      <c r="H574" s="3"/>
      <c r="I574" s="3"/>
      <c r="J574" s="3"/>
      <c r="K574" s="3"/>
    </row>
    <row r="575" spans="1:11" hidden="1" x14ac:dyDescent="0.2">
      <c r="A575" s="3"/>
      <c r="B575" s="3"/>
      <c r="C575" s="3"/>
      <c r="D575" s="3"/>
      <c r="E575" s="3"/>
      <c r="F575" s="3"/>
      <c r="G575" s="3"/>
      <c r="H575" s="3"/>
      <c r="I575" s="3"/>
      <c r="J575" s="3"/>
      <c r="K575" s="3"/>
    </row>
    <row r="576" spans="1:11" hidden="1" x14ac:dyDescent="0.2">
      <c r="A576" s="3"/>
      <c r="B576" s="3"/>
      <c r="C576" s="3"/>
      <c r="D576" s="3"/>
      <c r="E576" s="3"/>
      <c r="F576" s="3"/>
      <c r="G576" s="3"/>
      <c r="H576" s="3"/>
      <c r="I576" s="3"/>
      <c r="J576" s="3"/>
      <c r="K576" s="3"/>
    </row>
    <row r="577" spans="1:11" hidden="1" x14ac:dyDescent="0.2">
      <c r="A577" s="3"/>
      <c r="B577" s="3"/>
      <c r="C577" s="3"/>
      <c r="D577" s="3"/>
      <c r="E577" s="3"/>
      <c r="F577" s="3"/>
      <c r="G577" s="3"/>
      <c r="H577" s="3"/>
      <c r="I577" s="3"/>
      <c r="J577" s="3"/>
      <c r="K577" s="3"/>
    </row>
    <row r="578" spans="1:11" hidden="1" x14ac:dyDescent="0.2">
      <c r="A578" s="3"/>
      <c r="B578" s="3"/>
      <c r="C578" s="3"/>
      <c r="D578" s="3"/>
      <c r="E578" s="3"/>
      <c r="F578" s="3"/>
      <c r="G578" s="3"/>
      <c r="H578" s="3"/>
      <c r="I578" s="3"/>
      <c r="J578" s="3"/>
      <c r="K578" s="3"/>
    </row>
    <row r="579" spans="1:11" hidden="1" x14ac:dyDescent="0.2">
      <c r="A579" s="3"/>
      <c r="B579" s="3"/>
      <c r="C579" s="3"/>
      <c r="D579" s="3"/>
      <c r="E579" s="3"/>
      <c r="F579" s="3"/>
      <c r="G579" s="3"/>
      <c r="H579" s="3"/>
      <c r="I579" s="3"/>
      <c r="J579" s="3"/>
      <c r="K579" s="3"/>
    </row>
    <row r="580" spans="1:11" hidden="1" x14ac:dyDescent="0.2">
      <c r="A580" s="3"/>
      <c r="B580" s="3"/>
      <c r="C580" s="3"/>
      <c r="D580" s="3"/>
      <c r="E580" s="3"/>
      <c r="F580" s="3"/>
      <c r="G580" s="3"/>
      <c r="H580" s="3"/>
      <c r="I580" s="3"/>
      <c r="J580" s="3"/>
      <c r="K580" s="3"/>
    </row>
    <row r="581" spans="1:11" hidden="1" x14ac:dyDescent="0.2">
      <c r="A581" s="3"/>
      <c r="B581" s="3"/>
      <c r="C581" s="3"/>
      <c r="D581" s="3"/>
      <c r="E581" s="3"/>
      <c r="F581" s="3"/>
      <c r="G581" s="3"/>
      <c r="H581" s="3"/>
      <c r="I581" s="3"/>
      <c r="J581" s="3"/>
      <c r="K581" s="3"/>
    </row>
    <row r="582" spans="1:11" hidden="1" x14ac:dyDescent="0.2">
      <c r="A582" s="3"/>
      <c r="B582" s="3"/>
      <c r="C582" s="3"/>
      <c r="D582" s="3"/>
      <c r="E582" s="3"/>
      <c r="F582" s="3"/>
      <c r="G582" s="3"/>
      <c r="H582" s="3"/>
      <c r="I582" s="3"/>
      <c r="J582" s="3"/>
      <c r="K582" s="3"/>
    </row>
    <row r="583" spans="1:11" hidden="1" x14ac:dyDescent="0.2">
      <c r="A583" s="3"/>
      <c r="B583" s="3"/>
      <c r="C583" s="3"/>
      <c r="D583" s="3"/>
      <c r="E583" s="3"/>
      <c r="F583" s="3"/>
      <c r="G583" s="3"/>
      <c r="H583" s="3"/>
      <c r="I583" s="3"/>
      <c r="J583" s="3"/>
      <c r="K583" s="3"/>
    </row>
    <row r="584" spans="1:11" hidden="1" x14ac:dyDescent="0.2">
      <c r="A584" s="3"/>
      <c r="B584" s="3"/>
      <c r="C584" s="3"/>
      <c r="D584" s="3"/>
      <c r="E584" s="3"/>
      <c r="F584" s="3"/>
      <c r="G584" s="3"/>
      <c r="H584" s="3"/>
      <c r="I584" s="3"/>
      <c r="J584" s="3"/>
      <c r="K584" s="3"/>
    </row>
    <row r="585" spans="1:11" hidden="1" x14ac:dyDescent="0.2">
      <c r="A585" s="3"/>
      <c r="B585" s="3"/>
      <c r="C585" s="3"/>
      <c r="D585" s="3"/>
      <c r="E585" s="3"/>
      <c r="F585" s="3"/>
      <c r="G585" s="3"/>
      <c r="H585" s="3"/>
      <c r="I585" s="3"/>
      <c r="J585" s="3"/>
      <c r="K585" s="3"/>
    </row>
    <row r="586" spans="1:11" hidden="1" x14ac:dyDescent="0.2">
      <c r="A586" s="3"/>
      <c r="B586" s="3"/>
      <c r="C586" s="3"/>
      <c r="D586" s="3"/>
      <c r="E586" s="3"/>
      <c r="F586" s="3"/>
      <c r="G586" s="3"/>
      <c r="H586" s="3"/>
      <c r="I586" s="3"/>
      <c r="J586" s="3"/>
      <c r="K586" s="3"/>
    </row>
    <row r="587" spans="1:11" hidden="1" x14ac:dyDescent="0.2">
      <c r="A587" s="3"/>
      <c r="B587" s="3"/>
      <c r="C587" s="3"/>
      <c r="D587" s="3"/>
      <c r="E587" s="3"/>
      <c r="F587" s="3"/>
      <c r="G587" s="3"/>
      <c r="H587" s="3"/>
      <c r="I587" s="3"/>
      <c r="J587" s="3"/>
      <c r="K587" s="3"/>
    </row>
    <row r="588" spans="1:11" hidden="1" x14ac:dyDescent="0.2">
      <c r="A588" s="3"/>
      <c r="B588" s="3"/>
      <c r="C588" s="3"/>
      <c r="D588" s="3"/>
      <c r="E588" s="3"/>
      <c r="F588" s="3"/>
      <c r="G588" s="3"/>
      <c r="H588" s="3"/>
      <c r="I588" s="3"/>
      <c r="J588" s="3"/>
      <c r="K588" s="3"/>
    </row>
    <row r="589" spans="1:11" hidden="1" x14ac:dyDescent="0.2">
      <c r="A589" s="3"/>
      <c r="B589" s="3"/>
      <c r="C589" s="3"/>
      <c r="D589" s="3"/>
      <c r="E589" s="3"/>
      <c r="F589" s="3"/>
      <c r="G589" s="3"/>
      <c r="H589" s="3"/>
      <c r="I589" s="3"/>
      <c r="J589" s="3"/>
      <c r="K589" s="3"/>
    </row>
    <row r="590" spans="1:11" hidden="1" x14ac:dyDescent="0.2">
      <c r="A590" s="3"/>
      <c r="B590" s="3"/>
      <c r="C590" s="3"/>
      <c r="D590" s="3"/>
      <c r="E590" s="3"/>
      <c r="F590" s="3"/>
      <c r="G590" s="3"/>
      <c r="H590" s="3"/>
      <c r="I590" s="3"/>
      <c r="J590" s="3"/>
      <c r="K590" s="3"/>
    </row>
    <row r="591" spans="1:11" hidden="1" x14ac:dyDescent="0.2">
      <c r="A591" s="3"/>
      <c r="B591" s="3"/>
      <c r="C591" s="3"/>
      <c r="D591" s="3"/>
      <c r="E591" s="3"/>
      <c r="F591" s="3"/>
      <c r="G591" s="3"/>
      <c r="H591" s="3"/>
      <c r="I591" s="3"/>
      <c r="J591" s="3"/>
      <c r="K591" s="3"/>
    </row>
    <row r="592" spans="1:11" hidden="1" x14ac:dyDescent="0.2">
      <c r="A592" s="3"/>
      <c r="B592" s="3"/>
      <c r="C592" s="3"/>
      <c r="D592" s="3"/>
      <c r="E592" s="3"/>
      <c r="F592" s="3"/>
      <c r="G592" s="3"/>
      <c r="H592" s="3"/>
      <c r="I592" s="3"/>
      <c r="J592" s="3"/>
      <c r="K592" s="3"/>
    </row>
    <row r="593" spans="1:11" hidden="1" x14ac:dyDescent="0.2">
      <c r="A593" s="3"/>
      <c r="B593" s="3"/>
      <c r="C593" s="3"/>
      <c r="D593" s="3"/>
      <c r="E593" s="3"/>
      <c r="F593" s="3"/>
      <c r="G593" s="3"/>
      <c r="H593" s="3"/>
      <c r="I593" s="3"/>
      <c r="J593" s="3"/>
      <c r="K593" s="3"/>
    </row>
    <row r="594" spans="1:11" hidden="1" x14ac:dyDescent="0.2">
      <c r="A594" s="3"/>
      <c r="B594" s="3"/>
      <c r="C594" s="3"/>
      <c r="D594" s="3"/>
      <c r="E594" s="3"/>
      <c r="F594" s="3"/>
      <c r="G594" s="3"/>
      <c r="H594" s="3"/>
      <c r="I594" s="3"/>
      <c r="J594" s="3"/>
      <c r="K594" s="3"/>
    </row>
    <row r="595" spans="1:11" hidden="1" x14ac:dyDescent="0.2">
      <c r="A595" s="3"/>
      <c r="B595" s="3"/>
      <c r="C595" s="3"/>
      <c r="D595" s="3"/>
      <c r="E595" s="3"/>
      <c r="F595" s="3"/>
      <c r="G595" s="3"/>
      <c r="H595" s="3"/>
      <c r="I595" s="3"/>
      <c r="J595" s="3"/>
      <c r="K595" s="3"/>
    </row>
    <row r="596" spans="1:11" hidden="1" x14ac:dyDescent="0.2">
      <c r="A596" s="3"/>
      <c r="B596" s="3"/>
      <c r="C596" s="3"/>
      <c r="D596" s="3"/>
      <c r="E596" s="3"/>
      <c r="F596" s="3"/>
      <c r="G596" s="3"/>
      <c r="H596" s="3"/>
      <c r="I596" s="3"/>
      <c r="J596" s="3"/>
      <c r="K596" s="3"/>
    </row>
    <row r="597" spans="1:11" hidden="1" x14ac:dyDescent="0.2">
      <c r="A597" s="3"/>
      <c r="B597" s="3"/>
      <c r="C597" s="3"/>
      <c r="D597" s="3"/>
      <c r="E597" s="3"/>
      <c r="F597" s="3"/>
      <c r="G597" s="3"/>
      <c r="H597" s="3"/>
      <c r="I597" s="3"/>
      <c r="J597" s="3"/>
      <c r="K597" s="3"/>
    </row>
    <row r="598" spans="1:11" hidden="1" x14ac:dyDescent="0.2">
      <c r="A598" s="3"/>
      <c r="B598" s="3"/>
      <c r="C598" s="3"/>
      <c r="D598" s="3"/>
      <c r="E598" s="3"/>
      <c r="F598" s="3"/>
      <c r="G598" s="3"/>
      <c r="H598" s="3"/>
      <c r="I598" s="3"/>
      <c r="J598" s="3"/>
      <c r="K598" s="3"/>
    </row>
    <row r="599" spans="1:11" hidden="1" x14ac:dyDescent="0.2">
      <c r="A599" s="3"/>
      <c r="B599" s="3"/>
      <c r="C599" s="3"/>
      <c r="D599" s="3"/>
      <c r="E599" s="3"/>
      <c r="F599" s="3"/>
      <c r="G599" s="3"/>
      <c r="H599" s="3"/>
      <c r="I599" s="3"/>
      <c r="J599" s="3"/>
      <c r="K599" s="3"/>
    </row>
    <row r="600" spans="1:11" hidden="1" x14ac:dyDescent="0.2">
      <c r="A600" s="3"/>
      <c r="B600" s="3"/>
      <c r="C600" s="3"/>
      <c r="D600" s="3"/>
      <c r="E600" s="3"/>
      <c r="F600" s="3"/>
      <c r="G600" s="3"/>
      <c r="H600" s="3"/>
      <c r="I600" s="3"/>
      <c r="J600" s="3"/>
      <c r="K600" s="3"/>
    </row>
    <row r="601" spans="1:11" hidden="1" x14ac:dyDescent="0.2">
      <c r="A601" s="3"/>
      <c r="B601" s="3"/>
      <c r="C601" s="3"/>
      <c r="D601" s="3"/>
      <c r="E601" s="3"/>
      <c r="F601" s="3"/>
      <c r="G601" s="3"/>
      <c r="H601" s="3"/>
      <c r="I601" s="3"/>
      <c r="J601" s="3"/>
      <c r="K601" s="3"/>
    </row>
    <row r="602" spans="1:11" hidden="1" x14ac:dyDescent="0.2">
      <c r="A602" s="3"/>
      <c r="B602" s="3"/>
      <c r="C602" s="3"/>
      <c r="D602" s="3"/>
      <c r="E602" s="3"/>
      <c r="F602" s="3"/>
      <c r="G602" s="3"/>
      <c r="H602" s="3"/>
      <c r="I602" s="3"/>
      <c r="J602" s="3"/>
      <c r="K602" s="3"/>
    </row>
    <row r="603" spans="1:11" hidden="1" x14ac:dyDescent="0.2">
      <c r="A603" s="3"/>
      <c r="B603" s="3"/>
      <c r="C603" s="3"/>
      <c r="D603" s="3"/>
      <c r="E603" s="3"/>
      <c r="F603" s="3"/>
      <c r="G603" s="3"/>
      <c r="H603" s="3"/>
      <c r="I603" s="3"/>
      <c r="J603" s="3"/>
      <c r="K603" s="3"/>
    </row>
    <row r="604" spans="1:11" hidden="1" x14ac:dyDescent="0.2">
      <c r="A604" s="3"/>
      <c r="B604" s="3"/>
      <c r="C604" s="3"/>
      <c r="D604" s="3"/>
      <c r="E604" s="3"/>
      <c r="F604" s="3"/>
      <c r="G604" s="3"/>
      <c r="H604" s="3"/>
      <c r="I604" s="3"/>
      <c r="J604" s="3"/>
      <c r="K604" s="3"/>
    </row>
    <row r="605" spans="1:11" hidden="1" x14ac:dyDescent="0.2">
      <c r="A605" s="3"/>
      <c r="B605" s="3"/>
      <c r="C605" s="3"/>
      <c r="D605" s="3"/>
      <c r="E605" s="3"/>
      <c r="F605" s="3"/>
      <c r="G605" s="3"/>
      <c r="H605" s="3"/>
      <c r="I605" s="3"/>
      <c r="J605" s="3"/>
      <c r="K605" s="3"/>
    </row>
    <row r="606" spans="1:11" hidden="1" x14ac:dyDescent="0.2">
      <c r="A606" s="3"/>
      <c r="B606" s="3"/>
      <c r="C606" s="3"/>
      <c r="D606" s="3"/>
      <c r="E606" s="3"/>
      <c r="F606" s="3"/>
      <c r="G606" s="3"/>
      <c r="H606" s="3"/>
      <c r="I606" s="3"/>
      <c r="J606" s="3"/>
      <c r="K606" s="3"/>
    </row>
    <row r="607" spans="1:11" hidden="1" x14ac:dyDescent="0.2">
      <c r="A607" s="3"/>
      <c r="B607" s="3"/>
      <c r="C607" s="3"/>
      <c r="D607" s="3"/>
      <c r="E607" s="3"/>
      <c r="F607" s="3"/>
      <c r="G607" s="3"/>
      <c r="H607" s="3"/>
      <c r="I607" s="3"/>
      <c r="J607" s="3"/>
      <c r="K607" s="3"/>
    </row>
    <row r="608" spans="1:11" hidden="1" x14ac:dyDescent="0.2">
      <c r="A608" s="3"/>
      <c r="B608" s="3"/>
      <c r="C608" s="3"/>
      <c r="D608" s="3"/>
      <c r="E608" s="3"/>
      <c r="F608" s="3"/>
      <c r="G608" s="3"/>
      <c r="H608" s="3"/>
      <c r="I608" s="3"/>
      <c r="J608" s="3"/>
      <c r="K608" s="3"/>
    </row>
    <row r="609" spans="1:11" hidden="1" x14ac:dyDescent="0.2">
      <c r="A609" s="3"/>
      <c r="B609" s="3"/>
      <c r="C609" s="3"/>
      <c r="D609" s="3"/>
      <c r="E609" s="3"/>
      <c r="F609" s="3"/>
      <c r="G609" s="3"/>
      <c r="H609" s="3"/>
      <c r="I609" s="3"/>
      <c r="J609" s="3"/>
      <c r="K609" s="3"/>
    </row>
    <row r="610" spans="1:11" hidden="1" x14ac:dyDescent="0.2">
      <c r="A610" s="3"/>
      <c r="B610" s="3"/>
      <c r="C610" s="3"/>
      <c r="D610" s="3"/>
      <c r="E610" s="3"/>
      <c r="F610" s="3"/>
      <c r="G610" s="3"/>
      <c r="H610" s="3"/>
      <c r="I610" s="3"/>
      <c r="J610" s="3"/>
      <c r="K610" s="3"/>
    </row>
    <row r="611" spans="1:11" hidden="1" x14ac:dyDescent="0.2">
      <c r="A611" s="3"/>
      <c r="B611" s="3"/>
      <c r="C611" s="3"/>
      <c r="D611" s="3"/>
      <c r="E611" s="3"/>
      <c r="F611" s="3"/>
      <c r="G611" s="3"/>
      <c r="H611" s="3"/>
      <c r="I611" s="3"/>
      <c r="J611" s="3"/>
      <c r="K611" s="3"/>
    </row>
    <row r="612" spans="1:11" hidden="1" x14ac:dyDescent="0.2">
      <c r="A612" s="3"/>
      <c r="B612" s="3"/>
      <c r="C612" s="3"/>
      <c r="D612" s="3"/>
      <c r="E612" s="3"/>
      <c r="F612" s="3"/>
      <c r="G612" s="3"/>
      <c r="H612" s="3"/>
      <c r="I612" s="3"/>
      <c r="J612" s="3"/>
      <c r="K612" s="3"/>
    </row>
    <row r="613" spans="1:11" hidden="1" x14ac:dyDescent="0.2">
      <c r="A613" s="3"/>
      <c r="B613" s="3"/>
      <c r="C613" s="3"/>
      <c r="D613" s="3"/>
      <c r="E613" s="3"/>
      <c r="F613" s="3"/>
      <c r="G613" s="3"/>
      <c r="H613" s="3"/>
      <c r="I613" s="3"/>
      <c r="J613" s="3"/>
      <c r="K613" s="3"/>
    </row>
    <row r="614" spans="1:11" hidden="1" x14ac:dyDescent="0.2">
      <c r="A614" s="3"/>
      <c r="B614" s="3"/>
      <c r="C614" s="3"/>
      <c r="D614" s="3"/>
      <c r="E614" s="3"/>
      <c r="F614" s="3"/>
      <c r="G614" s="3"/>
      <c r="H614" s="3"/>
      <c r="I614" s="3"/>
      <c r="J614" s="3"/>
      <c r="K614" s="3"/>
    </row>
    <row r="615" spans="1:11" hidden="1" x14ac:dyDescent="0.2">
      <c r="A615" s="3"/>
      <c r="B615" s="3"/>
      <c r="C615" s="3"/>
      <c r="D615" s="3"/>
      <c r="E615" s="3"/>
      <c r="F615" s="3"/>
      <c r="G615" s="3"/>
      <c r="H615" s="3"/>
      <c r="I615" s="3"/>
      <c r="J615" s="3"/>
      <c r="K615" s="3"/>
    </row>
    <row r="616" spans="1:11" hidden="1" x14ac:dyDescent="0.2">
      <c r="A616" s="3"/>
      <c r="B616" s="3"/>
      <c r="C616" s="3"/>
      <c r="D616" s="3"/>
      <c r="E616" s="3"/>
      <c r="F616" s="3"/>
      <c r="G616" s="3"/>
      <c r="H616" s="3"/>
      <c r="I616" s="3"/>
      <c r="J616" s="3"/>
      <c r="K616" s="3"/>
    </row>
    <row r="617" spans="1:11" hidden="1" x14ac:dyDescent="0.2">
      <c r="A617" s="3"/>
      <c r="B617" s="3"/>
      <c r="C617" s="3"/>
      <c r="D617" s="3"/>
      <c r="E617" s="3"/>
      <c r="F617" s="3"/>
      <c r="G617" s="3"/>
      <c r="H617" s="3"/>
      <c r="I617" s="3"/>
      <c r="J617" s="3"/>
      <c r="K617" s="3"/>
    </row>
    <row r="618" spans="1:11" hidden="1" x14ac:dyDescent="0.2">
      <c r="A618" s="3"/>
      <c r="B618" s="3"/>
      <c r="C618" s="3"/>
      <c r="D618" s="3"/>
      <c r="E618" s="3"/>
      <c r="F618" s="3"/>
      <c r="G618" s="3"/>
      <c r="H618" s="3"/>
      <c r="I618" s="3"/>
      <c r="J618" s="3"/>
      <c r="K618" s="3"/>
    </row>
    <row r="619" spans="1:11" hidden="1" x14ac:dyDescent="0.2">
      <c r="A619" s="3"/>
      <c r="B619" s="3"/>
      <c r="C619" s="3"/>
      <c r="D619" s="3"/>
      <c r="E619" s="3"/>
      <c r="F619" s="3"/>
      <c r="G619" s="3"/>
      <c r="H619" s="3"/>
      <c r="I619" s="3"/>
      <c r="J619" s="3"/>
      <c r="K619" s="3"/>
    </row>
    <row r="620" spans="1:11" hidden="1" x14ac:dyDescent="0.2">
      <c r="A620" s="3"/>
      <c r="B620" s="3"/>
      <c r="C620" s="3"/>
      <c r="D620" s="3"/>
      <c r="E620" s="3"/>
      <c r="F620" s="3"/>
      <c r="G620" s="3"/>
      <c r="H620" s="3"/>
      <c r="I620" s="3"/>
      <c r="J620" s="3"/>
      <c r="K620" s="3"/>
    </row>
    <row r="621" spans="1:11" hidden="1" x14ac:dyDescent="0.2">
      <c r="A621" s="3"/>
      <c r="B621" s="3"/>
      <c r="C621" s="3"/>
      <c r="D621" s="3"/>
      <c r="E621" s="3"/>
      <c r="F621" s="3"/>
      <c r="G621" s="3"/>
      <c r="H621" s="3"/>
      <c r="I621" s="3"/>
      <c r="J621" s="3"/>
      <c r="K621" s="3"/>
    </row>
    <row r="622" spans="1:11" hidden="1" x14ac:dyDescent="0.2">
      <c r="A622" s="3"/>
      <c r="B622" s="3"/>
      <c r="C622" s="3"/>
      <c r="D622" s="3"/>
      <c r="E622" s="3"/>
      <c r="F622" s="3"/>
      <c r="G622" s="3"/>
      <c r="H622" s="3"/>
      <c r="I622" s="3"/>
      <c r="J622" s="3"/>
      <c r="K622" s="3"/>
    </row>
    <row r="623" spans="1:11" hidden="1" x14ac:dyDescent="0.2">
      <c r="A623" s="3"/>
      <c r="B623" s="3"/>
      <c r="C623" s="3"/>
      <c r="D623" s="3"/>
      <c r="E623" s="3"/>
      <c r="F623" s="3"/>
      <c r="G623" s="3"/>
      <c r="H623" s="3"/>
      <c r="I623" s="3"/>
      <c r="J623" s="3"/>
      <c r="K623" s="3"/>
    </row>
    <row r="624" spans="1:11" hidden="1" x14ac:dyDescent="0.2">
      <c r="A624" s="3"/>
      <c r="B624" s="3"/>
      <c r="C624" s="3"/>
      <c r="D624" s="3"/>
      <c r="E624" s="3"/>
      <c r="F624" s="3"/>
      <c r="G624" s="3"/>
      <c r="H624" s="3"/>
      <c r="I624" s="3"/>
      <c r="J624" s="3"/>
      <c r="K624" s="3"/>
    </row>
    <row r="625" spans="1:11" hidden="1" x14ac:dyDescent="0.2">
      <c r="A625" s="3"/>
      <c r="B625" s="3"/>
      <c r="C625" s="3"/>
      <c r="D625" s="3"/>
      <c r="E625" s="3"/>
      <c r="F625" s="3"/>
      <c r="G625" s="3"/>
      <c r="H625" s="3"/>
      <c r="I625" s="3"/>
      <c r="J625" s="3"/>
      <c r="K625" s="3"/>
    </row>
    <row r="626" spans="1:11" hidden="1" x14ac:dyDescent="0.2">
      <c r="A626" s="3"/>
      <c r="B626" s="3"/>
      <c r="C626" s="3"/>
      <c r="D626" s="3"/>
      <c r="E626" s="3"/>
      <c r="F626" s="3"/>
      <c r="G626" s="3"/>
      <c r="H626" s="3"/>
      <c r="I626" s="3"/>
      <c r="J626" s="3"/>
      <c r="K626" s="3"/>
    </row>
    <row r="627" spans="1:11" hidden="1" x14ac:dyDescent="0.2">
      <c r="A627" s="3"/>
      <c r="B627" s="3"/>
      <c r="C627" s="3"/>
      <c r="D627" s="3"/>
      <c r="E627" s="3"/>
      <c r="F627" s="3"/>
      <c r="G627" s="3"/>
      <c r="H627" s="3"/>
      <c r="I627" s="3"/>
      <c r="J627" s="3"/>
      <c r="K627" s="3"/>
    </row>
    <row r="628" spans="1:11" hidden="1" x14ac:dyDescent="0.2">
      <c r="A628" s="3"/>
      <c r="B628" s="3"/>
      <c r="C628" s="3"/>
      <c r="D628" s="3"/>
      <c r="E628" s="3"/>
      <c r="F628" s="3"/>
      <c r="G628" s="3"/>
      <c r="H628" s="3"/>
      <c r="I628" s="3"/>
      <c r="J628" s="3"/>
      <c r="K628" s="3"/>
    </row>
    <row r="629" spans="1:11" hidden="1" x14ac:dyDescent="0.2">
      <c r="A629" s="3"/>
      <c r="B629" s="3"/>
      <c r="C629" s="3"/>
      <c r="D629" s="3"/>
      <c r="E629" s="3"/>
      <c r="F629" s="3"/>
      <c r="G629" s="3"/>
      <c r="H629" s="3"/>
      <c r="I629" s="3"/>
      <c r="J629" s="3"/>
      <c r="K629" s="3"/>
    </row>
    <row r="630" spans="1:11" hidden="1" x14ac:dyDescent="0.2">
      <c r="A630" s="3"/>
      <c r="B630" s="3"/>
      <c r="C630" s="3"/>
      <c r="D630" s="3"/>
      <c r="E630" s="3"/>
      <c r="F630" s="3"/>
      <c r="G630" s="3"/>
      <c r="H630" s="3"/>
      <c r="I630" s="3"/>
      <c r="J630" s="3"/>
      <c r="K630" s="3"/>
    </row>
    <row r="631" spans="1:11" hidden="1" x14ac:dyDescent="0.2">
      <c r="A631" s="3"/>
      <c r="B631" s="3"/>
      <c r="C631" s="3"/>
      <c r="D631" s="3"/>
      <c r="E631" s="3"/>
      <c r="F631" s="3"/>
      <c r="G631" s="3"/>
      <c r="H631" s="3"/>
      <c r="I631" s="3"/>
      <c r="J631" s="3"/>
      <c r="K631" s="3"/>
    </row>
    <row r="632" spans="1:11" hidden="1" x14ac:dyDescent="0.2">
      <c r="A632" s="3"/>
      <c r="B632" s="3"/>
      <c r="C632" s="3"/>
      <c r="D632" s="3"/>
      <c r="E632" s="3"/>
      <c r="F632" s="3"/>
      <c r="G632" s="3"/>
      <c r="H632" s="3"/>
      <c r="I632" s="3"/>
      <c r="J632" s="3"/>
      <c r="K632" s="3"/>
    </row>
    <row r="633" spans="1:11" hidden="1" x14ac:dyDescent="0.2">
      <c r="A633" s="3"/>
      <c r="B633" s="3"/>
      <c r="C633" s="3"/>
      <c r="D633" s="3"/>
      <c r="E633" s="3"/>
      <c r="F633" s="3"/>
      <c r="G633" s="3"/>
      <c r="H633" s="3"/>
      <c r="I633" s="3"/>
      <c r="J633" s="3"/>
      <c r="K633" s="3"/>
    </row>
    <row r="634" spans="1:11" hidden="1" x14ac:dyDescent="0.2">
      <c r="A634" s="3"/>
      <c r="B634" s="3"/>
      <c r="C634" s="3"/>
      <c r="D634" s="3"/>
      <c r="E634" s="3"/>
      <c r="F634" s="3"/>
      <c r="G634" s="3"/>
      <c r="H634" s="3"/>
      <c r="I634" s="3"/>
      <c r="J634" s="3"/>
      <c r="K634" s="3"/>
    </row>
    <row r="635" spans="1:11" hidden="1" x14ac:dyDescent="0.2">
      <c r="A635" s="3"/>
      <c r="B635" s="3"/>
      <c r="C635" s="3"/>
      <c r="D635" s="3"/>
      <c r="E635" s="3"/>
      <c r="F635" s="3"/>
      <c r="G635" s="3"/>
      <c r="H635" s="3"/>
      <c r="I635" s="3"/>
      <c r="J635" s="3"/>
      <c r="K635" s="3"/>
    </row>
    <row r="636" spans="1:11" hidden="1" x14ac:dyDescent="0.2">
      <c r="A636" s="3"/>
      <c r="B636" s="3"/>
      <c r="C636" s="3"/>
      <c r="D636" s="3"/>
      <c r="E636" s="3"/>
      <c r="F636" s="3"/>
      <c r="G636" s="3"/>
      <c r="H636" s="3"/>
      <c r="I636" s="3"/>
      <c r="J636" s="3"/>
      <c r="K636" s="3"/>
    </row>
    <row r="637" spans="1:11" hidden="1" x14ac:dyDescent="0.2">
      <c r="A637" s="3"/>
      <c r="B637" s="3"/>
      <c r="C637" s="3"/>
      <c r="D637" s="3"/>
      <c r="E637" s="3"/>
      <c r="F637" s="3"/>
      <c r="G637" s="3"/>
      <c r="H637" s="3"/>
      <c r="I637" s="3"/>
      <c r="J637" s="3"/>
      <c r="K637" s="3"/>
    </row>
    <row r="638" spans="1:11" hidden="1" x14ac:dyDescent="0.2">
      <c r="A638" s="3"/>
      <c r="B638" s="3"/>
      <c r="C638" s="3"/>
      <c r="D638" s="3"/>
      <c r="E638" s="3"/>
      <c r="F638" s="3"/>
      <c r="G638" s="3"/>
      <c r="H638" s="3"/>
      <c r="I638" s="3"/>
      <c r="J638" s="3"/>
      <c r="K638" s="3"/>
    </row>
    <row r="639" spans="1:11" hidden="1" x14ac:dyDescent="0.2">
      <c r="A639" s="3"/>
      <c r="B639" s="3"/>
      <c r="C639" s="3"/>
      <c r="D639" s="3"/>
      <c r="E639" s="3"/>
      <c r="F639" s="3"/>
      <c r="G639" s="3"/>
      <c r="H639" s="3"/>
      <c r="I639" s="3"/>
      <c r="J639" s="3"/>
      <c r="K639" s="3"/>
    </row>
    <row r="640" spans="1:11" hidden="1" x14ac:dyDescent="0.2">
      <c r="A640" s="3"/>
      <c r="B640" s="3"/>
      <c r="C640" s="3"/>
      <c r="D640" s="3"/>
      <c r="E640" s="3"/>
      <c r="F640" s="3"/>
      <c r="G640" s="3"/>
      <c r="H640" s="3"/>
      <c r="I640" s="3"/>
      <c r="J640" s="3"/>
      <c r="K640" s="3"/>
    </row>
    <row r="641" spans="1:11" hidden="1" x14ac:dyDescent="0.2">
      <c r="A641" s="3"/>
      <c r="B641" s="3"/>
      <c r="C641" s="3"/>
      <c r="D641" s="3"/>
      <c r="E641" s="3"/>
      <c r="F641" s="3"/>
      <c r="G641" s="3"/>
      <c r="H641" s="3"/>
      <c r="I641" s="3"/>
      <c r="J641" s="3"/>
      <c r="K641" s="3"/>
    </row>
    <row r="642" spans="1:11" hidden="1" x14ac:dyDescent="0.2">
      <c r="A642" s="3"/>
      <c r="B642" s="3"/>
      <c r="C642" s="3"/>
      <c r="D642" s="3"/>
      <c r="E642" s="3"/>
      <c r="F642" s="3"/>
      <c r="G642" s="3"/>
      <c r="H642" s="3"/>
      <c r="I642" s="3"/>
      <c r="J642" s="3"/>
      <c r="K642" s="3"/>
    </row>
    <row r="643" spans="1:11" hidden="1" x14ac:dyDescent="0.2">
      <c r="A643" s="3"/>
      <c r="B643" s="3"/>
      <c r="C643" s="3"/>
      <c r="D643" s="3"/>
      <c r="E643" s="3"/>
      <c r="F643" s="3"/>
      <c r="G643" s="3"/>
      <c r="H643" s="3"/>
      <c r="I643" s="3"/>
      <c r="J643" s="3"/>
      <c r="K643" s="3"/>
    </row>
    <row r="644" spans="1:11" hidden="1" x14ac:dyDescent="0.2">
      <c r="A644" s="3"/>
      <c r="B644" s="3"/>
      <c r="C644" s="3"/>
      <c r="D644" s="3"/>
      <c r="E644" s="3"/>
      <c r="F644" s="3"/>
      <c r="G644" s="3"/>
      <c r="H644" s="3"/>
      <c r="I644" s="3"/>
      <c r="J644" s="3"/>
      <c r="K644" s="3"/>
    </row>
    <row r="645" spans="1:11" hidden="1" x14ac:dyDescent="0.2">
      <c r="A645" s="3"/>
      <c r="B645" s="3"/>
      <c r="C645" s="3"/>
      <c r="D645" s="3"/>
      <c r="E645" s="3"/>
      <c r="F645" s="3"/>
      <c r="G645" s="3"/>
      <c r="H645" s="3"/>
      <c r="I645" s="3"/>
      <c r="J645" s="3"/>
      <c r="K645" s="3"/>
    </row>
    <row r="646" spans="1:11" hidden="1" x14ac:dyDescent="0.2">
      <c r="A646" s="3"/>
      <c r="B646" s="3"/>
      <c r="C646" s="3"/>
      <c r="D646" s="3"/>
      <c r="E646" s="3"/>
      <c r="F646" s="3"/>
      <c r="G646" s="3"/>
      <c r="H646" s="3"/>
      <c r="I646" s="3"/>
      <c r="J646" s="3"/>
      <c r="K646" s="3"/>
    </row>
    <row r="647" spans="1:11" hidden="1" x14ac:dyDescent="0.2">
      <c r="A647" s="3"/>
      <c r="B647" s="3"/>
      <c r="C647" s="3"/>
      <c r="D647" s="3"/>
      <c r="E647" s="3"/>
      <c r="F647" s="3"/>
      <c r="G647" s="3"/>
      <c r="H647" s="3"/>
      <c r="I647" s="3"/>
      <c r="J647" s="3"/>
      <c r="K647" s="3"/>
    </row>
    <row r="648" spans="1:11" hidden="1" x14ac:dyDescent="0.2">
      <c r="A648" s="3"/>
      <c r="B648" s="3"/>
      <c r="C648" s="3"/>
      <c r="D648" s="3"/>
      <c r="E648" s="3"/>
      <c r="F648" s="3"/>
      <c r="G648" s="3"/>
      <c r="H648" s="3"/>
      <c r="I648" s="3"/>
      <c r="J648" s="3"/>
      <c r="K648" s="3"/>
    </row>
    <row r="649" spans="1:11" hidden="1" x14ac:dyDescent="0.2">
      <c r="A649" s="3"/>
      <c r="B649" s="3"/>
      <c r="C649" s="3"/>
      <c r="D649" s="3"/>
      <c r="E649" s="3"/>
      <c r="F649" s="3"/>
      <c r="G649" s="3"/>
      <c r="H649" s="3"/>
      <c r="I649" s="3"/>
      <c r="J649" s="3"/>
      <c r="K649" s="3"/>
    </row>
    <row r="650" spans="1:11" hidden="1" x14ac:dyDescent="0.2">
      <c r="A650" s="3"/>
      <c r="B650" s="3"/>
      <c r="C650" s="3"/>
      <c r="D650" s="3"/>
      <c r="E650" s="3"/>
      <c r="F650" s="3"/>
      <c r="G650" s="3"/>
      <c r="H650" s="3"/>
      <c r="I650" s="3"/>
      <c r="J650" s="3"/>
      <c r="K650" s="3"/>
    </row>
    <row r="651" spans="1:11" hidden="1" x14ac:dyDescent="0.2">
      <c r="A651" s="3"/>
      <c r="B651" s="3"/>
      <c r="C651" s="3"/>
      <c r="D651" s="3"/>
      <c r="E651" s="3"/>
      <c r="F651" s="3"/>
      <c r="G651" s="3"/>
      <c r="H651" s="3"/>
      <c r="I651" s="3"/>
      <c r="J651" s="3"/>
      <c r="K651" s="3"/>
    </row>
    <row r="652" spans="1:11" hidden="1" x14ac:dyDescent="0.2">
      <c r="A652" s="3"/>
      <c r="B652" s="3"/>
      <c r="C652" s="3"/>
      <c r="D652" s="3"/>
      <c r="E652" s="3"/>
      <c r="F652" s="3"/>
      <c r="G652" s="3"/>
      <c r="H652" s="3"/>
      <c r="I652" s="3"/>
      <c r="J652" s="3"/>
      <c r="K652" s="3"/>
    </row>
    <row r="653" spans="1:11" hidden="1" x14ac:dyDescent="0.2">
      <c r="A653" s="3"/>
      <c r="B653" s="3"/>
      <c r="C653" s="3"/>
      <c r="D653" s="3"/>
      <c r="E653" s="3"/>
      <c r="F653" s="3"/>
      <c r="G653" s="3"/>
      <c r="H653" s="3"/>
      <c r="I653" s="3"/>
      <c r="J653" s="3"/>
      <c r="K653" s="3"/>
    </row>
    <row r="654" spans="1:11" hidden="1" x14ac:dyDescent="0.2">
      <c r="A654" s="3"/>
      <c r="B654" s="3"/>
      <c r="C654" s="3"/>
      <c r="D654" s="3"/>
      <c r="E654" s="3"/>
      <c r="F654" s="3"/>
      <c r="G654" s="3"/>
      <c r="H654" s="3"/>
      <c r="I654" s="3"/>
      <c r="J654" s="3"/>
      <c r="K654" s="3"/>
    </row>
    <row r="655" spans="1:11" hidden="1" x14ac:dyDescent="0.2">
      <c r="A655" s="3"/>
      <c r="B655" s="3"/>
      <c r="C655" s="3"/>
      <c r="D655" s="3"/>
      <c r="E655" s="3"/>
      <c r="F655" s="3"/>
      <c r="G655" s="3"/>
      <c r="H655" s="3"/>
      <c r="I655" s="3"/>
      <c r="J655" s="3"/>
      <c r="K655" s="3"/>
    </row>
    <row r="656" spans="1:11" hidden="1" x14ac:dyDescent="0.2">
      <c r="A656" s="3"/>
      <c r="B656" s="3"/>
      <c r="C656" s="3"/>
      <c r="D656" s="3"/>
      <c r="E656" s="3"/>
      <c r="F656" s="3"/>
      <c r="G656" s="3"/>
      <c r="H656" s="3"/>
      <c r="I656" s="3"/>
      <c r="J656" s="3"/>
      <c r="K656" s="3"/>
    </row>
    <row r="657" spans="1:11" hidden="1" x14ac:dyDescent="0.2">
      <c r="A657" s="3"/>
      <c r="B657" s="3"/>
      <c r="C657" s="3"/>
      <c r="D657" s="3"/>
      <c r="E657" s="3"/>
      <c r="F657" s="3"/>
      <c r="G657" s="3"/>
      <c r="H657" s="3"/>
      <c r="I657" s="3"/>
      <c r="J657" s="3"/>
      <c r="K657" s="3"/>
    </row>
    <row r="658" spans="1:11" hidden="1" x14ac:dyDescent="0.2">
      <c r="A658" s="3"/>
      <c r="B658" s="3"/>
      <c r="C658" s="3"/>
      <c r="D658" s="3"/>
      <c r="E658" s="3"/>
      <c r="F658" s="3"/>
      <c r="G658" s="3"/>
      <c r="H658" s="3"/>
      <c r="I658" s="3"/>
      <c r="J658" s="3"/>
      <c r="K658" s="3"/>
    </row>
    <row r="659" spans="1:11" hidden="1" x14ac:dyDescent="0.2">
      <c r="A659" s="3"/>
      <c r="B659" s="3"/>
      <c r="C659" s="3"/>
      <c r="D659" s="3"/>
      <c r="E659" s="3"/>
      <c r="F659" s="3"/>
      <c r="G659" s="3"/>
      <c r="H659" s="3"/>
      <c r="I659" s="3"/>
      <c r="J659" s="3"/>
      <c r="K659" s="3"/>
    </row>
    <row r="660" spans="1:11" hidden="1" x14ac:dyDescent="0.2">
      <c r="A660" s="3"/>
      <c r="B660" s="3"/>
      <c r="C660" s="3"/>
      <c r="D660" s="3"/>
      <c r="E660" s="3"/>
      <c r="F660" s="3"/>
      <c r="G660" s="3"/>
      <c r="H660" s="3"/>
      <c r="I660" s="3"/>
      <c r="J660" s="3"/>
      <c r="K660" s="3"/>
    </row>
    <row r="661" spans="1:11" hidden="1" x14ac:dyDescent="0.2">
      <c r="A661" s="3"/>
      <c r="B661" s="3"/>
      <c r="C661" s="3"/>
      <c r="D661" s="3"/>
      <c r="E661" s="3"/>
      <c r="F661" s="3"/>
      <c r="G661" s="3"/>
      <c r="H661" s="3"/>
      <c r="I661" s="3"/>
      <c r="J661" s="3"/>
      <c r="K661" s="3"/>
    </row>
    <row r="662" spans="1:11" hidden="1" x14ac:dyDescent="0.2">
      <c r="A662" s="3"/>
      <c r="B662" s="3"/>
      <c r="C662" s="3"/>
      <c r="D662" s="3"/>
      <c r="E662" s="3"/>
      <c r="F662" s="3"/>
      <c r="G662" s="3"/>
      <c r="H662" s="3"/>
      <c r="I662" s="3"/>
      <c r="J662" s="3"/>
      <c r="K662" s="3"/>
    </row>
    <row r="663" spans="1:11" hidden="1" x14ac:dyDescent="0.2">
      <c r="A663" s="3"/>
      <c r="B663" s="3"/>
      <c r="C663" s="3"/>
      <c r="D663" s="3"/>
      <c r="E663" s="3"/>
      <c r="F663" s="3"/>
      <c r="G663" s="3"/>
      <c r="H663" s="3"/>
      <c r="I663" s="3"/>
      <c r="J663" s="3"/>
      <c r="K663" s="3"/>
    </row>
    <row r="664" spans="1:11" hidden="1" x14ac:dyDescent="0.2">
      <c r="A664" s="3"/>
      <c r="B664" s="3"/>
      <c r="C664" s="3"/>
      <c r="D664" s="3"/>
      <c r="E664" s="3"/>
      <c r="F664" s="3"/>
      <c r="G664" s="3"/>
      <c r="H664" s="3"/>
      <c r="I664" s="3"/>
      <c r="J664" s="3"/>
      <c r="K664" s="3"/>
    </row>
    <row r="665" spans="1:11" hidden="1" x14ac:dyDescent="0.2">
      <c r="A665" s="3"/>
      <c r="B665" s="3"/>
      <c r="C665" s="3"/>
      <c r="D665" s="3"/>
      <c r="E665" s="3"/>
      <c r="F665" s="3"/>
      <c r="G665" s="3"/>
      <c r="H665" s="3"/>
      <c r="I665" s="3"/>
      <c r="J665" s="3"/>
      <c r="K665" s="3"/>
    </row>
    <row r="666" spans="1:11" hidden="1" x14ac:dyDescent="0.2">
      <c r="A666" s="3"/>
      <c r="B666" s="3"/>
      <c r="C666" s="3"/>
      <c r="D666" s="3"/>
      <c r="E666" s="3"/>
      <c r="F666" s="3"/>
      <c r="G666" s="3"/>
      <c r="H666" s="3"/>
      <c r="I666" s="3"/>
      <c r="J666" s="3"/>
      <c r="K666" s="3"/>
    </row>
    <row r="667" spans="1:11" hidden="1" x14ac:dyDescent="0.2">
      <c r="A667" s="3"/>
      <c r="B667" s="3"/>
      <c r="C667" s="3"/>
      <c r="D667" s="3"/>
      <c r="E667" s="3"/>
      <c r="F667" s="3"/>
      <c r="G667" s="3"/>
      <c r="H667" s="3"/>
      <c r="I667" s="3"/>
      <c r="J667" s="3"/>
      <c r="K667" s="3"/>
    </row>
    <row r="668" spans="1:11" hidden="1" x14ac:dyDescent="0.2">
      <c r="A668" s="3"/>
      <c r="B668" s="3"/>
      <c r="C668" s="3"/>
      <c r="D668" s="3"/>
      <c r="E668" s="3"/>
      <c r="F668" s="3"/>
      <c r="G668" s="3"/>
      <c r="H668" s="3"/>
      <c r="I668" s="3"/>
      <c r="J668" s="3"/>
      <c r="K668" s="3"/>
    </row>
    <row r="669" spans="1:11" hidden="1" x14ac:dyDescent="0.2">
      <c r="A669" s="3"/>
      <c r="B669" s="3"/>
      <c r="C669" s="3"/>
      <c r="D669" s="3"/>
      <c r="E669" s="3"/>
      <c r="F669" s="3"/>
      <c r="G669" s="3"/>
      <c r="H669" s="3"/>
      <c r="I669" s="3"/>
      <c r="J669" s="3"/>
      <c r="K669" s="3"/>
    </row>
    <row r="670" spans="1:11" hidden="1" x14ac:dyDescent="0.2">
      <c r="A670" s="3"/>
      <c r="B670" s="3"/>
      <c r="C670" s="3"/>
      <c r="D670" s="3"/>
      <c r="E670" s="3"/>
      <c r="F670" s="3"/>
      <c r="G670" s="3"/>
      <c r="H670" s="3"/>
      <c r="I670" s="3"/>
      <c r="J670" s="3"/>
      <c r="K670" s="3"/>
    </row>
    <row r="671" spans="1:11" hidden="1" x14ac:dyDescent="0.2">
      <c r="A671" s="3"/>
      <c r="B671" s="3"/>
      <c r="C671" s="3"/>
      <c r="D671" s="3"/>
      <c r="E671" s="3"/>
      <c r="F671" s="3"/>
      <c r="G671" s="3"/>
      <c r="H671" s="3"/>
      <c r="I671" s="3"/>
      <c r="J671" s="3"/>
      <c r="K671" s="3"/>
    </row>
    <row r="672" spans="1:11" hidden="1" x14ac:dyDescent="0.2">
      <c r="A672" s="3"/>
      <c r="B672" s="3"/>
      <c r="C672" s="3"/>
      <c r="D672" s="3"/>
      <c r="E672" s="3"/>
      <c r="F672" s="3"/>
      <c r="G672" s="3"/>
      <c r="H672" s="3"/>
      <c r="I672" s="3"/>
      <c r="J672" s="3"/>
      <c r="K672" s="3"/>
    </row>
    <row r="673" spans="1:11" hidden="1" x14ac:dyDescent="0.2">
      <c r="A673" s="3"/>
      <c r="B673" s="3"/>
      <c r="C673" s="3"/>
      <c r="D673" s="3"/>
      <c r="E673" s="3"/>
      <c r="F673" s="3"/>
      <c r="G673" s="3"/>
      <c r="H673" s="3"/>
      <c r="I673" s="3"/>
      <c r="J673" s="3"/>
      <c r="K673" s="3"/>
    </row>
    <row r="674" spans="1:11" hidden="1" x14ac:dyDescent="0.2">
      <c r="A674" s="3"/>
      <c r="B674" s="3"/>
      <c r="C674" s="3"/>
      <c r="D674" s="3"/>
      <c r="E674" s="3"/>
      <c r="F674" s="3"/>
      <c r="G674" s="3"/>
      <c r="H674" s="3"/>
      <c r="I674" s="3"/>
      <c r="J674" s="3"/>
      <c r="K674" s="3"/>
    </row>
    <row r="675" spans="1:11" hidden="1" x14ac:dyDescent="0.2">
      <c r="A675" s="3"/>
      <c r="B675" s="3"/>
      <c r="C675" s="3"/>
      <c r="D675" s="3"/>
      <c r="E675" s="3"/>
      <c r="F675" s="3"/>
      <c r="G675" s="3"/>
      <c r="H675" s="3"/>
      <c r="I675" s="3"/>
      <c r="J675" s="3"/>
      <c r="K675" s="3"/>
    </row>
    <row r="676" spans="1:11" hidden="1" x14ac:dyDescent="0.2">
      <c r="A676" s="3"/>
      <c r="B676" s="3"/>
      <c r="C676" s="3"/>
      <c r="D676" s="3"/>
      <c r="E676" s="3"/>
      <c r="F676" s="3"/>
      <c r="G676" s="3"/>
      <c r="H676" s="3"/>
      <c r="I676" s="3"/>
      <c r="J676" s="3"/>
      <c r="K676" s="3"/>
    </row>
    <row r="677" spans="1:11" hidden="1" x14ac:dyDescent="0.2">
      <c r="A677" s="3"/>
      <c r="B677" s="3"/>
      <c r="C677" s="3"/>
      <c r="D677" s="3"/>
      <c r="E677" s="3"/>
      <c r="F677" s="3"/>
      <c r="G677" s="3"/>
      <c r="H677" s="3"/>
      <c r="I677" s="3"/>
      <c r="J677" s="3"/>
      <c r="K677" s="3"/>
    </row>
    <row r="678" spans="1:11" hidden="1" x14ac:dyDescent="0.2">
      <c r="A678" s="3"/>
      <c r="B678" s="3"/>
      <c r="C678" s="3"/>
      <c r="D678" s="3"/>
      <c r="E678" s="3"/>
      <c r="F678" s="3"/>
      <c r="G678" s="3"/>
      <c r="H678" s="3"/>
      <c r="I678" s="3"/>
      <c r="J678" s="3"/>
      <c r="K678" s="3"/>
    </row>
    <row r="679" spans="1:11" hidden="1" x14ac:dyDescent="0.2">
      <c r="A679" s="3"/>
      <c r="B679" s="3"/>
      <c r="C679" s="3"/>
      <c r="D679" s="3"/>
      <c r="E679" s="3"/>
      <c r="F679" s="3"/>
      <c r="G679" s="3"/>
      <c r="H679" s="3"/>
      <c r="I679" s="3"/>
      <c r="J679" s="3"/>
      <c r="K679" s="3"/>
    </row>
    <row r="680" spans="1:11" hidden="1" x14ac:dyDescent="0.2">
      <c r="A680" s="3"/>
      <c r="B680" s="3"/>
      <c r="C680" s="3"/>
      <c r="D680" s="3"/>
      <c r="E680" s="3"/>
      <c r="F680" s="3"/>
      <c r="G680" s="3"/>
      <c r="H680" s="3"/>
      <c r="I680" s="3"/>
      <c r="J680" s="3"/>
      <c r="K680" s="3"/>
    </row>
    <row r="681" spans="1:11" hidden="1" x14ac:dyDescent="0.2">
      <c r="A681" s="3"/>
      <c r="B681" s="3"/>
      <c r="C681" s="3"/>
      <c r="D681" s="3"/>
      <c r="E681" s="3"/>
      <c r="F681" s="3"/>
      <c r="G681" s="3"/>
      <c r="H681" s="3"/>
      <c r="I681" s="3"/>
      <c r="J681" s="3"/>
      <c r="K681" s="3"/>
    </row>
    <row r="682" spans="1:11" hidden="1" x14ac:dyDescent="0.2">
      <c r="A682" s="3"/>
      <c r="B682" s="3"/>
      <c r="C682" s="3"/>
      <c r="D682" s="3"/>
      <c r="E682" s="3"/>
      <c r="F682" s="3"/>
      <c r="G682" s="3"/>
      <c r="H682" s="3"/>
      <c r="I682" s="3"/>
      <c r="J682" s="3"/>
      <c r="K682" s="3"/>
    </row>
    <row r="683" spans="1:11" hidden="1" x14ac:dyDescent="0.2">
      <c r="A683" s="3"/>
      <c r="B683" s="3"/>
      <c r="C683" s="3"/>
      <c r="D683" s="3"/>
      <c r="E683" s="3"/>
      <c r="F683" s="3"/>
      <c r="G683" s="3"/>
      <c r="H683" s="3"/>
      <c r="I683" s="3"/>
      <c r="J683" s="3"/>
      <c r="K683" s="3"/>
    </row>
    <row r="684" spans="1:11" hidden="1" x14ac:dyDescent="0.2">
      <c r="A684" s="3"/>
      <c r="B684" s="3"/>
      <c r="C684" s="3"/>
      <c r="D684" s="3"/>
      <c r="E684" s="3"/>
      <c r="F684" s="3"/>
      <c r="G684" s="3"/>
      <c r="H684" s="3"/>
      <c r="I684" s="3"/>
      <c r="J684" s="3"/>
      <c r="K684" s="3"/>
    </row>
    <row r="685" spans="1:11" hidden="1" x14ac:dyDescent="0.2">
      <c r="A685" s="3"/>
      <c r="B685" s="3"/>
      <c r="C685" s="3"/>
      <c r="D685" s="3"/>
      <c r="E685" s="3"/>
      <c r="F685" s="3"/>
      <c r="G685" s="3"/>
      <c r="H685" s="3"/>
      <c r="I685" s="3"/>
      <c r="J685" s="3"/>
      <c r="K685" s="3"/>
    </row>
    <row r="686" spans="1:11" hidden="1" x14ac:dyDescent="0.2">
      <c r="A686" s="3"/>
      <c r="B686" s="3"/>
      <c r="C686" s="3"/>
      <c r="D686" s="3"/>
      <c r="E686" s="3"/>
      <c r="F686" s="3"/>
      <c r="G686" s="3"/>
      <c r="H686" s="3"/>
      <c r="I686" s="3"/>
      <c r="J686" s="3"/>
      <c r="K686" s="3"/>
    </row>
    <row r="687" spans="1:11" hidden="1" x14ac:dyDescent="0.2">
      <c r="A687" s="3"/>
      <c r="B687" s="3"/>
      <c r="C687" s="3"/>
      <c r="D687" s="3"/>
      <c r="E687" s="3"/>
      <c r="F687" s="3"/>
      <c r="G687" s="3"/>
      <c r="H687" s="3"/>
      <c r="I687" s="3"/>
      <c r="J687" s="3"/>
      <c r="K687" s="3"/>
    </row>
    <row r="688" spans="1:11" hidden="1" x14ac:dyDescent="0.2">
      <c r="A688" s="3"/>
      <c r="B688" s="3"/>
      <c r="C688" s="3"/>
      <c r="D688" s="3"/>
      <c r="E688" s="3"/>
      <c r="F688" s="3"/>
      <c r="G688" s="3"/>
      <c r="H688" s="3"/>
      <c r="I688" s="3"/>
      <c r="J688" s="3"/>
      <c r="K688" s="3"/>
    </row>
    <row r="689" spans="1:11" hidden="1" x14ac:dyDescent="0.2">
      <c r="A689" s="3"/>
      <c r="B689" s="3"/>
      <c r="C689" s="3"/>
      <c r="D689" s="3"/>
      <c r="E689" s="3"/>
      <c r="F689" s="3"/>
      <c r="G689" s="3"/>
      <c r="H689" s="3"/>
      <c r="I689" s="3"/>
      <c r="J689" s="3"/>
      <c r="K689" s="3"/>
    </row>
    <row r="690" spans="1:11" hidden="1" x14ac:dyDescent="0.2">
      <c r="A690" s="3"/>
      <c r="B690" s="3"/>
      <c r="C690" s="3"/>
      <c r="D690" s="3"/>
      <c r="E690" s="3"/>
      <c r="F690" s="3"/>
      <c r="G690" s="3"/>
      <c r="H690" s="3"/>
      <c r="I690" s="3"/>
      <c r="J690" s="3"/>
      <c r="K690" s="3"/>
    </row>
    <row r="691" spans="1:11" hidden="1" x14ac:dyDescent="0.2">
      <c r="A691" s="3"/>
      <c r="B691" s="3"/>
      <c r="C691" s="3"/>
      <c r="D691" s="3"/>
      <c r="E691" s="3"/>
      <c r="F691" s="3"/>
      <c r="G691" s="3"/>
      <c r="H691" s="3"/>
      <c r="I691" s="3"/>
      <c r="J691" s="3"/>
      <c r="K691" s="3"/>
    </row>
    <row r="692" spans="1:11" hidden="1" x14ac:dyDescent="0.2">
      <c r="A692" s="3"/>
      <c r="B692" s="3"/>
      <c r="C692" s="3"/>
      <c r="D692" s="3"/>
      <c r="E692" s="3"/>
      <c r="F692" s="3"/>
      <c r="G692" s="3"/>
      <c r="H692" s="3"/>
      <c r="I692" s="3"/>
      <c r="J692" s="3"/>
      <c r="K692" s="3"/>
    </row>
    <row r="693" spans="1:11" hidden="1" x14ac:dyDescent="0.2">
      <c r="A693" s="3"/>
      <c r="B693" s="3"/>
      <c r="C693" s="3"/>
      <c r="D693" s="3"/>
      <c r="E693" s="3"/>
      <c r="F693" s="3"/>
      <c r="G693" s="3"/>
      <c r="H693" s="3"/>
      <c r="I693" s="3"/>
      <c r="J693" s="3"/>
      <c r="K693" s="3"/>
    </row>
    <row r="694" spans="1:11" hidden="1" x14ac:dyDescent="0.2">
      <c r="A694" s="3"/>
      <c r="B694" s="3"/>
      <c r="C694" s="3"/>
      <c r="D694" s="3"/>
      <c r="E694" s="3"/>
      <c r="F694" s="3"/>
      <c r="G694" s="3"/>
      <c r="H694" s="3"/>
      <c r="I694" s="3"/>
      <c r="J694" s="3"/>
      <c r="K694" s="3"/>
    </row>
    <row r="695" spans="1:11" hidden="1" x14ac:dyDescent="0.2">
      <c r="A695" s="3"/>
      <c r="B695" s="3"/>
      <c r="C695" s="3"/>
      <c r="D695" s="3"/>
      <c r="E695" s="3"/>
      <c r="F695" s="3"/>
      <c r="G695" s="3"/>
      <c r="H695" s="3"/>
      <c r="I695" s="3"/>
      <c r="J695" s="3"/>
      <c r="K695" s="3"/>
    </row>
    <row r="696" spans="1:11" hidden="1" x14ac:dyDescent="0.2">
      <c r="A696" s="3"/>
      <c r="B696" s="3"/>
      <c r="C696" s="3"/>
      <c r="D696" s="3"/>
      <c r="E696" s="3"/>
      <c r="F696" s="3"/>
      <c r="G696" s="3"/>
      <c r="H696" s="3"/>
      <c r="I696" s="3"/>
      <c r="J696" s="3"/>
      <c r="K696" s="3"/>
    </row>
    <row r="697" spans="1:11" hidden="1" x14ac:dyDescent="0.2">
      <c r="A697" s="3"/>
      <c r="B697" s="3"/>
      <c r="C697" s="3"/>
      <c r="D697" s="3"/>
      <c r="E697" s="3"/>
      <c r="F697" s="3"/>
      <c r="G697" s="3"/>
      <c r="H697" s="3"/>
      <c r="I697" s="3"/>
      <c r="J697" s="3"/>
      <c r="K697" s="3"/>
    </row>
    <row r="698" spans="1:11" hidden="1" x14ac:dyDescent="0.2">
      <c r="A698" s="3"/>
      <c r="B698" s="3"/>
      <c r="C698" s="3"/>
      <c r="D698" s="3"/>
      <c r="E698" s="3"/>
      <c r="F698" s="3"/>
      <c r="G698" s="3"/>
      <c r="H698" s="3"/>
      <c r="I698" s="3"/>
      <c r="J698" s="3"/>
      <c r="K698" s="3"/>
    </row>
    <row r="699" spans="1:11" hidden="1" x14ac:dyDescent="0.2">
      <c r="A699" s="3"/>
      <c r="B699" s="3"/>
      <c r="C699" s="3"/>
      <c r="D699" s="3"/>
      <c r="E699" s="3"/>
      <c r="F699" s="3"/>
      <c r="G699" s="3"/>
      <c r="H699" s="3"/>
      <c r="I699" s="3"/>
      <c r="J699" s="3"/>
      <c r="K699" s="3"/>
    </row>
    <row r="700" spans="1:11" hidden="1" x14ac:dyDescent="0.2">
      <c r="A700" s="3"/>
      <c r="B700" s="3"/>
      <c r="C700" s="3"/>
      <c r="D700" s="3"/>
      <c r="E700" s="3"/>
      <c r="F700" s="3"/>
      <c r="G700" s="3"/>
      <c r="H700" s="3"/>
      <c r="I700" s="3"/>
      <c r="J700" s="3"/>
      <c r="K700" s="3"/>
    </row>
    <row r="701" spans="1:11" hidden="1" x14ac:dyDescent="0.2">
      <c r="A701" s="3"/>
      <c r="B701" s="3"/>
      <c r="C701" s="3"/>
      <c r="D701" s="3"/>
      <c r="E701" s="3"/>
      <c r="F701" s="3"/>
      <c r="G701" s="3"/>
      <c r="H701" s="3"/>
      <c r="I701" s="3"/>
      <c r="J701" s="3"/>
      <c r="K701" s="3"/>
    </row>
    <row r="702" spans="1:11" hidden="1" x14ac:dyDescent="0.2">
      <c r="A702" s="3"/>
      <c r="B702" s="3"/>
      <c r="C702" s="3"/>
      <c r="D702" s="3"/>
      <c r="E702" s="3"/>
      <c r="F702" s="3"/>
      <c r="G702" s="3"/>
      <c r="H702" s="3"/>
      <c r="I702" s="3"/>
      <c r="J702" s="3"/>
      <c r="K702" s="3"/>
    </row>
    <row r="703" spans="1:11" hidden="1" x14ac:dyDescent="0.2">
      <c r="A703" s="3"/>
      <c r="B703" s="3"/>
      <c r="C703" s="3"/>
      <c r="D703" s="3"/>
      <c r="E703" s="3"/>
      <c r="F703" s="3"/>
      <c r="G703" s="3"/>
      <c r="H703" s="3"/>
      <c r="I703" s="3"/>
      <c r="J703" s="3"/>
      <c r="K703" s="3"/>
    </row>
    <row r="704" spans="1:11" hidden="1" x14ac:dyDescent="0.2">
      <c r="A704" s="3"/>
      <c r="B704" s="3"/>
      <c r="C704" s="3"/>
      <c r="D704" s="3"/>
      <c r="E704" s="3"/>
      <c r="F704" s="3"/>
      <c r="G704" s="3"/>
      <c r="H704" s="3"/>
      <c r="I704" s="3"/>
      <c r="J704" s="3"/>
      <c r="K704" s="3"/>
    </row>
    <row r="705" spans="1:11" hidden="1" x14ac:dyDescent="0.2">
      <c r="A705" s="3"/>
      <c r="B705" s="3"/>
      <c r="C705" s="3"/>
      <c r="D705" s="3"/>
      <c r="E705" s="3"/>
      <c r="F705" s="3"/>
      <c r="G705" s="3"/>
      <c r="H705" s="3"/>
      <c r="I705" s="3"/>
      <c r="J705" s="3"/>
      <c r="K705" s="3"/>
    </row>
    <row r="706" spans="1:11" hidden="1" x14ac:dyDescent="0.2">
      <c r="A706" s="3"/>
      <c r="B706" s="3"/>
      <c r="C706" s="3"/>
      <c r="D706" s="3"/>
      <c r="E706" s="3"/>
      <c r="F706" s="3"/>
      <c r="G706" s="3"/>
      <c r="H706" s="3"/>
      <c r="I706" s="3"/>
      <c r="J706" s="3"/>
      <c r="K706" s="3"/>
    </row>
    <row r="707" spans="1:11" hidden="1" x14ac:dyDescent="0.2">
      <c r="A707" s="3"/>
      <c r="B707" s="3"/>
      <c r="C707" s="3"/>
      <c r="D707" s="3"/>
      <c r="E707" s="3"/>
      <c r="F707" s="3"/>
      <c r="G707" s="3"/>
      <c r="H707" s="3"/>
      <c r="I707" s="3"/>
      <c r="J707" s="3"/>
      <c r="K707" s="3"/>
    </row>
    <row r="708" spans="1:11" hidden="1" x14ac:dyDescent="0.2">
      <c r="A708" s="3"/>
      <c r="B708" s="3"/>
      <c r="C708" s="3"/>
      <c r="D708" s="3"/>
      <c r="E708" s="3"/>
      <c r="F708" s="3"/>
      <c r="G708" s="3"/>
      <c r="H708" s="3"/>
      <c r="I708" s="3"/>
      <c r="J708" s="3"/>
      <c r="K708" s="3"/>
    </row>
    <row r="709" spans="1:11" hidden="1" x14ac:dyDescent="0.2">
      <c r="A709" s="3"/>
      <c r="B709" s="3"/>
      <c r="C709" s="3"/>
      <c r="D709" s="3"/>
      <c r="E709" s="3"/>
      <c r="F709" s="3"/>
      <c r="G709" s="3"/>
      <c r="H709" s="3"/>
      <c r="I709" s="3"/>
      <c r="J709" s="3"/>
      <c r="K709" s="3"/>
    </row>
    <row r="710" spans="1:11" hidden="1" x14ac:dyDescent="0.2">
      <c r="A710" s="3"/>
      <c r="B710" s="3"/>
      <c r="C710" s="3"/>
      <c r="D710" s="3"/>
      <c r="E710" s="3"/>
      <c r="F710" s="3"/>
      <c r="G710" s="3"/>
      <c r="H710" s="3"/>
      <c r="I710" s="3"/>
      <c r="J710" s="3"/>
      <c r="K710" s="3"/>
    </row>
    <row r="711" spans="1:11" hidden="1" x14ac:dyDescent="0.2">
      <c r="A711" s="3"/>
      <c r="B711" s="3"/>
      <c r="C711" s="3"/>
      <c r="D711" s="3"/>
      <c r="E711" s="3"/>
      <c r="F711" s="3"/>
      <c r="G711" s="3"/>
      <c r="H711" s="3"/>
      <c r="I711" s="3"/>
      <c r="J711" s="3"/>
      <c r="K711" s="3"/>
    </row>
    <row r="712" spans="1:11" hidden="1" x14ac:dyDescent="0.2">
      <c r="A712" s="3"/>
      <c r="B712" s="3"/>
      <c r="C712" s="3"/>
      <c r="D712" s="3"/>
      <c r="E712" s="3"/>
      <c r="F712" s="3"/>
      <c r="G712" s="3"/>
      <c r="H712" s="3"/>
      <c r="I712" s="3"/>
      <c r="J712" s="3"/>
      <c r="K712" s="3"/>
    </row>
    <row r="713" spans="1:11" hidden="1" x14ac:dyDescent="0.2">
      <c r="A713" s="3"/>
      <c r="B713" s="3"/>
      <c r="C713" s="3"/>
      <c r="D713" s="3"/>
      <c r="E713" s="3"/>
      <c r="F713" s="3"/>
      <c r="G713" s="3"/>
      <c r="H713" s="3"/>
      <c r="I713" s="3"/>
      <c r="J713" s="3"/>
      <c r="K713" s="3"/>
    </row>
    <row r="714" spans="1:11" hidden="1" x14ac:dyDescent="0.2">
      <c r="A714" s="3"/>
      <c r="B714" s="3"/>
      <c r="C714" s="3"/>
      <c r="D714" s="3"/>
      <c r="E714" s="3"/>
      <c r="F714" s="3"/>
      <c r="G714" s="3"/>
      <c r="H714" s="3"/>
      <c r="I714" s="3"/>
      <c r="J714" s="3"/>
      <c r="K714" s="3"/>
    </row>
    <row r="715" spans="1:11" hidden="1" x14ac:dyDescent="0.2">
      <c r="A715" s="3"/>
      <c r="B715" s="3"/>
      <c r="C715" s="3"/>
      <c r="D715" s="3"/>
      <c r="E715" s="3"/>
      <c r="F715" s="3"/>
      <c r="G715" s="3"/>
      <c r="H715" s="3"/>
      <c r="I715" s="3"/>
      <c r="J715" s="3"/>
      <c r="K715" s="3"/>
    </row>
    <row r="716" spans="1:11" hidden="1" x14ac:dyDescent="0.2">
      <c r="A716" s="3"/>
      <c r="B716" s="3"/>
      <c r="C716" s="3"/>
      <c r="D716" s="3"/>
      <c r="E716" s="3"/>
      <c r="F716" s="3"/>
      <c r="G716" s="3"/>
      <c r="H716" s="3"/>
      <c r="I716" s="3"/>
      <c r="J716" s="3"/>
      <c r="K716" s="3"/>
    </row>
    <row r="717" spans="1:11" hidden="1" x14ac:dyDescent="0.2">
      <c r="A717" s="3"/>
      <c r="B717" s="3"/>
      <c r="C717" s="3"/>
      <c r="D717" s="3"/>
      <c r="E717" s="3"/>
      <c r="F717" s="3"/>
      <c r="G717" s="3"/>
      <c r="H717" s="3"/>
      <c r="I717" s="3"/>
      <c r="J717" s="3"/>
      <c r="K717" s="3"/>
    </row>
    <row r="718" spans="1:11" hidden="1" x14ac:dyDescent="0.2">
      <c r="A718" s="3"/>
      <c r="B718" s="3"/>
      <c r="C718" s="3"/>
      <c r="D718" s="3"/>
      <c r="E718" s="3"/>
      <c r="F718" s="3"/>
      <c r="G718" s="3"/>
      <c r="H718" s="3"/>
      <c r="I718" s="3"/>
      <c r="J718" s="3"/>
      <c r="K718" s="3"/>
    </row>
    <row r="719" spans="1:11" hidden="1" x14ac:dyDescent="0.2">
      <c r="A719" s="3"/>
      <c r="B719" s="3"/>
      <c r="C719" s="3"/>
      <c r="D719" s="3"/>
      <c r="E719" s="3"/>
      <c r="F719" s="3"/>
      <c r="G719" s="3"/>
      <c r="H719" s="3"/>
      <c r="I719" s="3"/>
      <c r="J719" s="3"/>
      <c r="K719" s="3"/>
    </row>
    <row r="720" spans="1:11" hidden="1" x14ac:dyDescent="0.2">
      <c r="A720" s="3"/>
      <c r="B720" s="3"/>
      <c r="C720" s="3"/>
      <c r="D720" s="3"/>
      <c r="E720" s="3"/>
      <c r="F720" s="3"/>
      <c r="G720" s="3"/>
      <c r="H720" s="3"/>
      <c r="I720" s="3"/>
      <c r="J720" s="3"/>
      <c r="K720" s="3"/>
    </row>
    <row r="721" spans="1:11" hidden="1" x14ac:dyDescent="0.2">
      <c r="A721" s="3"/>
      <c r="B721" s="3"/>
      <c r="C721" s="3"/>
      <c r="D721" s="3"/>
      <c r="E721" s="3"/>
      <c r="F721" s="3"/>
      <c r="G721" s="3"/>
      <c r="H721" s="3"/>
      <c r="I721" s="3"/>
      <c r="J721" s="3"/>
      <c r="K721" s="3"/>
    </row>
    <row r="722" spans="1:11" hidden="1" x14ac:dyDescent="0.2">
      <c r="A722" s="3"/>
      <c r="B722" s="3"/>
      <c r="C722" s="3"/>
      <c r="D722" s="3"/>
      <c r="E722" s="3"/>
      <c r="F722" s="3"/>
      <c r="G722" s="3"/>
      <c r="H722" s="3"/>
      <c r="I722" s="3"/>
      <c r="J722" s="3"/>
      <c r="K722" s="3"/>
    </row>
    <row r="723" spans="1:11" hidden="1" x14ac:dyDescent="0.2">
      <c r="A723" s="3"/>
      <c r="B723" s="3"/>
      <c r="C723" s="3"/>
      <c r="D723" s="3"/>
      <c r="E723" s="3"/>
      <c r="F723" s="3"/>
      <c r="G723" s="3"/>
      <c r="H723" s="3"/>
      <c r="I723" s="3"/>
      <c r="J723" s="3"/>
      <c r="K723" s="3"/>
    </row>
    <row r="724" spans="1:11" hidden="1" x14ac:dyDescent="0.2">
      <c r="A724" s="3"/>
      <c r="B724" s="3"/>
      <c r="C724" s="3"/>
      <c r="D724" s="3"/>
      <c r="E724" s="3"/>
      <c r="F724" s="3"/>
      <c r="G724" s="3"/>
      <c r="H724" s="3"/>
      <c r="I724" s="3"/>
      <c r="J724" s="3"/>
      <c r="K724" s="3"/>
    </row>
    <row r="725" spans="1:11" hidden="1" x14ac:dyDescent="0.2">
      <c r="A725" s="3"/>
      <c r="B725" s="3"/>
      <c r="C725" s="3"/>
      <c r="D725" s="3"/>
      <c r="E725" s="3"/>
      <c r="F725" s="3"/>
      <c r="G725" s="3"/>
      <c r="H725" s="3"/>
      <c r="I725" s="3"/>
      <c r="J725" s="3"/>
      <c r="K725" s="3"/>
    </row>
    <row r="726" spans="1:11" hidden="1" x14ac:dyDescent="0.2">
      <c r="A726" s="3"/>
      <c r="B726" s="3"/>
      <c r="C726" s="3"/>
      <c r="D726" s="3"/>
      <c r="E726" s="3"/>
      <c r="F726" s="3"/>
      <c r="G726" s="3"/>
      <c r="H726" s="3"/>
      <c r="I726" s="3"/>
      <c r="J726" s="3"/>
      <c r="K726" s="3"/>
    </row>
    <row r="727" spans="1:11" hidden="1" x14ac:dyDescent="0.2">
      <c r="A727" s="3"/>
      <c r="B727" s="3"/>
      <c r="C727" s="3"/>
      <c r="D727" s="3"/>
      <c r="E727" s="3"/>
      <c r="F727" s="3"/>
      <c r="G727" s="3"/>
      <c r="H727" s="3"/>
      <c r="I727" s="3"/>
      <c r="J727" s="3"/>
      <c r="K727" s="3"/>
    </row>
    <row r="728" spans="1:11" hidden="1" x14ac:dyDescent="0.2">
      <c r="A728" s="3"/>
      <c r="B728" s="3"/>
      <c r="C728" s="3"/>
      <c r="D728" s="3"/>
      <c r="E728" s="3"/>
      <c r="F728" s="3"/>
      <c r="G728" s="3"/>
      <c r="H728" s="3"/>
      <c r="I728" s="3"/>
      <c r="J728" s="3"/>
      <c r="K728" s="3"/>
    </row>
    <row r="729" spans="1:11" hidden="1" x14ac:dyDescent="0.2">
      <c r="A729" s="3"/>
      <c r="B729" s="3"/>
      <c r="C729" s="3"/>
      <c r="D729" s="3"/>
      <c r="E729" s="3"/>
      <c r="F729" s="3"/>
      <c r="G729" s="3"/>
      <c r="H729" s="3"/>
      <c r="I729" s="3"/>
      <c r="J729" s="3"/>
      <c r="K729" s="3"/>
    </row>
    <row r="730" spans="1:11" hidden="1" x14ac:dyDescent="0.2">
      <c r="A730" s="3"/>
      <c r="B730" s="3"/>
      <c r="C730" s="3"/>
      <c r="D730" s="3"/>
      <c r="E730" s="3"/>
      <c r="F730" s="3"/>
      <c r="G730" s="3"/>
      <c r="H730" s="3"/>
      <c r="I730" s="3"/>
      <c r="J730" s="3"/>
      <c r="K730" s="3"/>
    </row>
    <row r="731" spans="1:11" hidden="1" x14ac:dyDescent="0.2">
      <c r="A731" s="3"/>
      <c r="B731" s="3"/>
      <c r="C731" s="3"/>
      <c r="D731" s="3"/>
      <c r="E731" s="3"/>
      <c r="F731" s="3"/>
      <c r="G731" s="3"/>
      <c r="H731" s="3"/>
      <c r="I731" s="3"/>
      <c r="J731" s="3"/>
      <c r="K731" s="3"/>
    </row>
    <row r="732" spans="1:11" hidden="1" x14ac:dyDescent="0.2">
      <c r="A732" s="3"/>
      <c r="B732" s="3"/>
      <c r="C732" s="3"/>
      <c r="D732" s="3"/>
      <c r="E732" s="3"/>
      <c r="F732" s="3"/>
      <c r="G732" s="3"/>
      <c r="H732" s="3"/>
      <c r="I732" s="3"/>
      <c r="J732" s="3"/>
      <c r="K732" s="3"/>
    </row>
    <row r="733" spans="1:11" hidden="1" x14ac:dyDescent="0.2">
      <c r="A733" s="3"/>
      <c r="B733" s="3"/>
      <c r="C733" s="3"/>
      <c r="D733" s="3"/>
      <c r="E733" s="3"/>
      <c r="F733" s="3"/>
      <c r="G733" s="3"/>
      <c r="H733" s="3"/>
      <c r="I733" s="3"/>
      <c r="J733" s="3"/>
      <c r="K733" s="3"/>
    </row>
    <row r="734" spans="1:11" hidden="1" x14ac:dyDescent="0.2">
      <c r="A734" s="3"/>
      <c r="B734" s="3"/>
      <c r="C734" s="3"/>
      <c r="D734" s="3"/>
      <c r="E734" s="3"/>
      <c r="F734" s="3"/>
      <c r="G734" s="3"/>
      <c r="H734" s="3"/>
      <c r="I734" s="3"/>
      <c r="J734" s="3"/>
      <c r="K734" s="3"/>
    </row>
    <row r="735" spans="1:11" hidden="1" x14ac:dyDescent="0.2">
      <c r="A735" s="3"/>
      <c r="B735" s="3"/>
      <c r="C735" s="3"/>
      <c r="D735" s="3"/>
      <c r="E735" s="3"/>
      <c r="F735" s="3"/>
      <c r="G735" s="3"/>
      <c r="H735" s="3"/>
      <c r="I735" s="3"/>
      <c r="J735" s="3"/>
      <c r="K735" s="3"/>
    </row>
    <row r="736" spans="1:11" hidden="1" x14ac:dyDescent="0.2">
      <c r="A736" s="3"/>
      <c r="B736" s="3"/>
      <c r="C736" s="3"/>
      <c r="D736" s="3"/>
      <c r="E736" s="3"/>
      <c r="F736" s="3"/>
      <c r="G736" s="3"/>
      <c r="H736" s="3"/>
      <c r="I736" s="3"/>
      <c r="J736" s="3"/>
      <c r="K736" s="3"/>
    </row>
    <row r="737" spans="1:11" hidden="1" x14ac:dyDescent="0.2">
      <c r="A737" s="3"/>
      <c r="B737" s="3"/>
      <c r="C737" s="3"/>
      <c r="D737" s="3"/>
      <c r="E737" s="3"/>
      <c r="F737" s="3"/>
      <c r="G737" s="3"/>
      <c r="H737" s="3"/>
      <c r="I737" s="3"/>
      <c r="J737" s="3"/>
      <c r="K737" s="3"/>
    </row>
    <row r="738" spans="1:11" hidden="1" x14ac:dyDescent="0.2">
      <c r="A738" s="3"/>
      <c r="B738" s="3"/>
      <c r="C738" s="3"/>
      <c r="D738" s="3"/>
      <c r="E738" s="3"/>
      <c r="F738" s="3"/>
      <c r="G738" s="3"/>
      <c r="H738" s="3"/>
      <c r="I738" s="3"/>
      <c r="J738" s="3"/>
      <c r="K738" s="3"/>
    </row>
    <row r="739" spans="1:11" hidden="1" x14ac:dyDescent="0.2">
      <c r="A739" s="3"/>
      <c r="B739" s="3"/>
      <c r="C739" s="3"/>
      <c r="D739" s="3"/>
      <c r="E739" s="3"/>
      <c r="F739" s="3"/>
      <c r="G739" s="3"/>
      <c r="H739" s="3"/>
      <c r="I739" s="3"/>
      <c r="J739" s="3"/>
      <c r="K739" s="3"/>
    </row>
    <row r="740" spans="1:11" hidden="1" x14ac:dyDescent="0.2">
      <c r="A740" s="3"/>
      <c r="B740" s="3"/>
      <c r="C740" s="3"/>
      <c r="D740" s="3"/>
      <c r="E740" s="3"/>
      <c r="F740" s="3"/>
      <c r="G740" s="3"/>
      <c r="H740" s="3"/>
      <c r="I740" s="3"/>
      <c r="J740" s="3"/>
      <c r="K740" s="3"/>
    </row>
    <row r="741" spans="1:11" hidden="1" x14ac:dyDescent="0.2">
      <c r="A741" s="3"/>
      <c r="B741" s="3"/>
      <c r="C741" s="3"/>
      <c r="D741" s="3"/>
      <c r="E741" s="3"/>
      <c r="F741" s="3"/>
      <c r="G741" s="3"/>
      <c r="H741" s="3"/>
      <c r="I741" s="3"/>
      <c r="J741" s="3"/>
      <c r="K741" s="3"/>
    </row>
    <row r="742" spans="1:11" hidden="1" x14ac:dyDescent="0.2">
      <c r="A742" s="3"/>
      <c r="B742" s="3"/>
      <c r="C742" s="3"/>
      <c r="D742" s="3"/>
      <c r="E742" s="3"/>
      <c r="F742" s="3"/>
      <c r="G742" s="3"/>
      <c r="H742" s="3"/>
      <c r="I742" s="3"/>
      <c r="J742" s="3"/>
      <c r="K742" s="3"/>
    </row>
    <row r="743" spans="1:11" hidden="1" x14ac:dyDescent="0.2">
      <c r="A743" s="3"/>
      <c r="B743" s="3"/>
      <c r="C743" s="3"/>
      <c r="D743" s="3"/>
      <c r="E743" s="3"/>
      <c r="F743" s="3"/>
      <c r="G743" s="3"/>
      <c r="H743" s="3"/>
      <c r="I743" s="3"/>
      <c r="J743" s="3"/>
      <c r="K743" s="3"/>
    </row>
    <row r="744" spans="1:11" hidden="1" x14ac:dyDescent="0.2">
      <c r="A744" s="3"/>
      <c r="B744" s="3"/>
      <c r="C744" s="3"/>
      <c r="D744" s="3"/>
      <c r="E744" s="3"/>
      <c r="F744" s="3"/>
      <c r="G744" s="3"/>
      <c r="H744" s="3"/>
      <c r="I744" s="3"/>
      <c r="J744" s="3"/>
      <c r="K744" s="3"/>
    </row>
    <row r="745" spans="1:11" hidden="1" x14ac:dyDescent="0.2">
      <c r="A745" s="3"/>
      <c r="B745" s="3"/>
      <c r="C745" s="3"/>
      <c r="D745" s="3"/>
      <c r="E745" s="3"/>
      <c r="F745" s="3"/>
      <c r="G745" s="3"/>
      <c r="H745" s="3"/>
      <c r="I745" s="3"/>
      <c r="J745" s="3"/>
      <c r="K745" s="3"/>
    </row>
    <row r="746" spans="1:11" hidden="1" x14ac:dyDescent="0.2">
      <c r="A746" s="3"/>
      <c r="B746" s="3"/>
      <c r="C746" s="3"/>
      <c r="D746" s="3"/>
      <c r="E746" s="3"/>
      <c r="F746" s="3"/>
      <c r="G746" s="3"/>
      <c r="H746" s="3"/>
      <c r="I746" s="3"/>
      <c r="J746" s="3"/>
      <c r="K746" s="3"/>
    </row>
    <row r="747" spans="1:11" hidden="1" x14ac:dyDescent="0.2">
      <c r="A747" s="3"/>
      <c r="B747" s="3"/>
      <c r="C747" s="3"/>
      <c r="D747" s="3"/>
      <c r="E747" s="3"/>
      <c r="F747" s="3"/>
      <c r="G747" s="3"/>
      <c r="H747" s="3"/>
      <c r="I747" s="3"/>
      <c r="J747" s="3"/>
      <c r="K747" s="3"/>
    </row>
    <row r="748" spans="1:11" hidden="1" x14ac:dyDescent="0.2">
      <c r="A748" s="3"/>
      <c r="B748" s="3"/>
      <c r="C748" s="3"/>
      <c r="D748" s="3"/>
      <c r="E748" s="3"/>
      <c r="F748" s="3"/>
      <c r="G748" s="3"/>
      <c r="H748" s="3"/>
      <c r="I748" s="3"/>
      <c r="J748" s="3"/>
      <c r="K748" s="3"/>
    </row>
    <row r="749" spans="1:11" hidden="1" x14ac:dyDescent="0.2">
      <c r="A749" s="3"/>
      <c r="B749" s="3"/>
      <c r="C749" s="3"/>
      <c r="D749" s="3"/>
      <c r="E749" s="3"/>
      <c r="F749" s="3"/>
      <c r="G749" s="3"/>
      <c r="H749" s="3"/>
      <c r="I749" s="3"/>
      <c r="J749" s="3"/>
      <c r="K749" s="3"/>
    </row>
    <row r="750" spans="1:11" hidden="1" x14ac:dyDescent="0.2">
      <c r="A750" s="3"/>
      <c r="B750" s="3"/>
      <c r="C750" s="3"/>
      <c r="D750" s="3"/>
      <c r="E750" s="3"/>
      <c r="F750" s="3"/>
      <c r="G750" s="3"/>
      <c r="H750" s="3"/>
      <c r="I750" s="3"/>
      <c r="J750" s="3"/>
      <c r="K750" s="3"/>
    </row>
    <row r="751" spans="1:11" hidden="1" x14ac:dyDescent="0.2">
      <c r="A751" s="3"/>
      <c r="B751" s="3"/>
      <c r="C751" s="3"/>
      <c r="D751" s="3"/>
      <c r="E751" s="3"/>
      <c r="F751" s="3"/>
      <c r="G751" s="3"/>
      <c r="H751" s="3"/>
      <c r="I751" s="3"/>
      <c r="J751" s="3"/>
      <c r="K751" s="3"/>
    </row>
    <row r="752" spans="1:11" hidden="1" x14ac:dyDescent="0.2">
      <c r="A752" s="3"/>
      <c r="B752" s="3"/>
      <c r="C752" s="3"/>
      <c r="D752" s="3"/>
      <c r="E752" s="3"/>
      <c r="F752" s="3"/>
      <c r="G752" s="3"/>
      <c r="H752" s="3"/>
      <c r="I752" s="3"/>
      <c r="J752" s="3"/>
      <c r="K752" s="3"/>
    </row>
    <row r="753" spans="1:11" hidden="1" x14ac:dyDescent="0.2">
      <c r="A753" s="3"/>
      <c r="B753" s="3"/>
      <c r="C753" s="3"/>
      <c r="D753" s="3"/>
      <c r="E753" s="3"/>
      <c r="F753" s="3"/>
      <c r="G753" s="3"/>
      <c r="H753" s="3"/>
      <c r="I753" s="3"/>
      <c r="J753" s="3"/>
      <c r="K753" s="3"/>
    </row>
    <row r="754" spans="1:11" hidden="1" x14ac:dyDescent="0.2">
      <c r="A754" s="3"/>
      <c r="B754" s="3"/>
      <c r="C754" s="3"/>
      <c r="D754" s="3"/>
      <c r="E754" s="3"/>
      <c r="F754" s="3"/>
      <c r="G754" s="3"/>
      <c r="H754" s="3"/>
      <c r="I754" s="3"/>
      <c r="J754" s="3"/>
      <c r="K754" s="3"/>
    </row>
    <row r="755" spans="1:11" hidden="1" x14ac:dyDescent="0.2">
      <c r="A755" s="3"/>
      <c r="B755" s="3"/>
      <c r="C755" s="3"/>
      <c r="D755" s="3"/>
      <c r="E755" s="3"/>
      <c r="F755" s="3"/>
      <c r="G755" s="3"/>
      <c r="H755" s="3"/>
      <c r="I755" s="3"/>
      <c r="J755" s="3"/>
      <c r="K755" s="3"/>
    </row>
    <row r="756" spans="1:11" hidden="1" x14ac:dyDescent="0.2">
      <c r="A756" s="3"/>
      <c r="B756" s="3"/>
      <c r="C756" s="3"/>
      <c r="D756" s="3"/>
      <c r="E756" s="3"/>
      <c r="F756" s="3"/>
      <c r="G756" s="3"/>
      <c r="H756" s="3"/>
      <c r="I756" s="3"/>
      <c r="J756" s="3"/>
      <c r="K756" s="3"/>
    </row>
    <row r="757" spans="1:11" hidden="1" x14ac:dyDescent="0.2">
      <c r="A757" s="3"/>
      <c r="B757" s="3"/>
      <c r="C757" s="3"/>
      <c r="D757" s="3"/>
      <c r="E757" s="3"/>
      <c r="F757" s="3"/>
      <c r="G757" s="3"/>
      <c r="H757" s="3"/>
      <c r="I757" s="3"/>
      <c r="J757" s="3"/>
      <c r="K757" s="3"/>
    </row>
    <row r="758" spans="1:11" hidden="1" x14ac:dyDescent="0.2">
      <c r="A758" s="3"/>
      <c r="B758" s="3"/>
      <c r="C758" s="3"/>
      <c r="D758" s="3"/>
      <c r="E758" s="3"/>
      <c r="F758" s="3"/>
      <c r="G758" s="3"/>
      <c r="H758" s="3"/>
      <c r="I758" s="3"/>
      <c r="J758" s="3"/>
      <c r="K758" s="3"/>
    </row>
    <row r="759" spans="1:11" hidden="1" x14ac:dyDescent="0.2">
      <c r="A759" s="3"/>
      <c r="B759" s="3"/>
      <c r="C759" s="3"/>
      <c r="D759" s="3"/>
      <c r="E759" s="3"/>
      <c r="F759" s="3"/>
      <c r="G759" s="3"/>
      <c r="H759" s="3"/>
      <c r="I759" s="3"/>
      <c r="J759" s="3"/>
      <c r="K759" s="3"/>
    </row>
    <row r="760" spans="1:11" hidden="1" x14ac:dyDescent="0.2">
      <c r="A760" s="3"/>
      <c r="B760" s="3"/>
      <c r="C760" s="3"/>
      <c r="D760" s="3"/>
      <c r="E760" s="3"/>
      <c r="F760" s="3"/>
      <c r="G760" s="3"/>
      <c r="H760" s="3"/>
      <c r="I760" s="3"/>
      <c r="J760" s="3"/>
      <c r="K760" s="3"/>
    </row>
    <row r="761" spans="1:11" hidden="1" x14ac:dyDescent="0.2">
      <c r="A761" s="3"/>
      <c r="B761" s="3"/>
      <c r="C761" s="3"/>
      <c r="D761" s="3"/>
      <c r="E761" s="3"/>
      <c r="F761" s="3"/>
      <c r="G761" s="3"/>
      <c r="H761" s="3"/>
      <c r="I761" s="3"/>
      <c r="J761" s="3"/>
      <c r="K761" s="3"/>
    </row>
    <row r="762" spans="1:11" hidden="1" x14ac:dyDescent="0.2">
      <c r="A762" s="3"/>
      <c r="B762" s="3"/>
      <c r="C762" s="3"/>
      <c r="D762" s="3"/>
      <c r="E762" s="3"/>
      <c r="F762" s="3"/>
      <c r="G762" s="3"/>
      <c r="H762" s="3"/>
      <c r="I762" s="3"/>
      <c r="J762" s="3"/>
      <c r="K762" s="3"/>
    </row>
    <row r="763" spans="1:11" hidden="1" x14ac:dyDescent="0.2">
      <c r="A763" s="3"/>
      <c r="B763" s="3"/>
      <c r="C763" s="3"/>
      <c r="D763" s="3"/>
      <c r="E763" s="3"/>
      <c r="F763" s="3"/>
      <c r="G763" s="3"/>
      <c r="H763" s="3"/>
      <c r="I763" s="3"/>
      <c r="J763" s="3"/>
      <c r="K763" s="3"/>
    </row>
    <row r="764" spans="1:11" hidden="1" x14ac:dyDescent="0.2">
      <c r="A764" s="3"/>
      <c r="B764" s="3"/>
      <c r="C764" s="3"/>
      <c r="D764" s="3"/>
      <c r="E764" s="3"/>
      <c r="F764" s="3"/>
      <c r="G764" s="3"/>
      <c r="H764" s="3"/>
      <c r="I764" s="3"/>
      <c r="J764" s="3"/>
      <c r="K764" s="3"/>
    </row>
    <row r="765" spans="1:11" hidden="1" x14ac:dyDescent="0.2">
      <c r="A765" s="3"/>
      <c r="B765" s="3"/>
      <c r="C765" s="3"/>
      <c r="D765" s="3"/>
      <c r="E765" s="3"/>
      <c r="F765" s="3"/>
      <c r="G765" s="3"/>
      <c r="H765" s="3"/>
      <c r="I765" s="3"/>
      <c r="J765" s="3"/>
      <c r="K765" s="3"/>
    </row>
    <row r="766" spans="1:11" hidden="1" x14ac:dyDescent="0.2">
      <c r="A766" s="3"/>
      <c r="B766" s="3"/>
      <c r="C766" s="3"/>
      <c r="D766" s="3"/>
      <c r="E766" s="3"/>
      <c r="F766" s="3"/>
      <c r="G766" s="3"/>
      <c r="H766" s="3"/>
      <c r="I766" s="3"/>
      <c r="J766" s="3"/>
      <c r="K766" s="3"/>
    </row>
    <row r="767" spans="1:11" hidden="1" x14ac:dyDescent="0.2">
      <c r="A767" s="3"/>
      <c r="B767" s="3"/>
      <c r="C767" s="3"/>
      <c r="D767" s="3"/>
      <c r="E767" s="3"/>
      <c r="F767" s="3"/>
      <c r="G767" s="3"/>
      <c r="H767" s="3"/>
      <c r="I767" s="3"/>
      <c r="J767" s="3"/>
      <c r="K767" s="3"/>
    </row>
    <row r="768" spans="1:11" hidden="1" x14ac:dyDescent="0.2">
      <c r="A768" s="3"/>
      <c r="B768" s="3"/>
      <c r="C768" s="3"/>
      <c r="D768" s="3"/>
      <c r="E768" s="3"/>
      <c r="F768" s="3"/>
      <c r="G768" s="3"/>
      <c r="H768" s="3"/>
      <c r="I768" s="3"/>
      <c r="J768" s="3"/>
      <c r="K768" s="3"/>
    </row>
    <row r="769" spans="1:11" hidden="1" x14ac:dyDescent="0.2">
      <c r="A769" s="3"/>
      <c r="B769" s="3"/>
      <c r="C769" s="3"/>
      <c r="D769" s="3"/>
      <c r="E769" s="3"/>
      <c r="F769" s="3"/>
      <c r="G769" s="3"/>
      <c r="H769" s="3"/>
      <c r="I769" s="3"/>
      <c r="J769" s="3"/>
      <c r="K769" s="3"/>
    </row>
    <row r="770" spans="1:11" hidden="1" x14ac:dyDescent="0.2">
      <c r="A770" s="3"/>
      <c r="B770" s="3"/>
      <c r="C770" s="3"/>
      <c r="D770" s="3"/>
      <c r="E770" s="3"/>
      <c r="F770" s="3"/>
      <c r="G770" s="3"/>
      <c r="H770" s="3"/>
      <c r="I770" s="3"/>
      <c r="J770" s="3"/>
      <c r="K770" s="3"/>
    </row>
    <row r="771" spans="1:11" hidden="1" x14ac:dyDescent="0.2">
      <c r="A771" s="3"/>
      <c r="B771" s="3"/>
      <c r="C771" s="3"/>
      <c r="D771" s="3"/>
      <c r="E771" s="3"/>
      <c r="F771" s="3"/>
      <c r="G771" s="3"/>
      <c r="H771" s="3"/>
      <c r="I771" s="3"/>
      <c r="J771" s="3"/>
      <c r="K771" s="3"/>
    </row>
    <row r="772" spans="1:11" hidden="1" x14ac:dyDescent="0.2">
      <c r="A772" s="3"/>
      <c r="B772" s="3"/>
      <c r="C772" s="3"/>
      <c r="D772" s="3"/>
      <c r="E772" s="3"/>
      <c r="F772" s="3"/>
      <c r="G772" s="3"/>
      <c r="H772" s="3"/>
      <c r="I772" s="3"/>
      <c r="J772" s="3"/>
      <c r="K772" s="3"/>
    </row>
    <row r="773" spans="1:11" hidden="1" x14ac:dyDescent="0.2">
      <c r="A773" s="3"/>
      <c r="B773" s="3"/>
      <c r="C773" s="3"/>
      <c r="D773" s="3"/>
      <c r="E773" s="3"/>
      <c r="F773" s="3"/>
      <c r="G773" s="3"/>
      <c r="H773" s="3"/>
      <c r="I773" s="3"/>
      <c r="J773" s="3"/>
      <c r="K773" s="3"/>
    </row>
    <row r="774" spans="1:11" hidden="1" x14ac:dyDescent="0.2">
      <c r="A774" s="3"/>
      <c r="B774" s="3"/>
      <c r="C774" s="3"/>
      <c r="D774" s="3"/>
      <c r="E774" s="3"/>
      <c r="F774" s="3"/>
      <c r="G774" s="3"/>
      <c r="H774" s="3"/>
      <c r="I774" s="3"/>
      <c r="J774" s="3"/>
      <c r="K774" s="3"/>
    </row>
    <row r="775" spans="1:11" hidden="1" x14ac:dyDescent="0.2">
      <c r="A775" s="3"/>
      <c r="B775" s="3"/>
      <c r="C775" s="3"/>
      <c r="D775" s="3"/>
      <c r="E775" s="3"/>
      <c r="F775" s="3"/>
      <c r="G775" s="3"/>
      <c r="H775" s="3"/>
      <c r="I775" s="3"/>
      <c r="J775" s="3"/>
      <c r="K775" s="3"/>
    </row>
    <row r="776" spans="1:11" hidden="1" x14ac:dyDescent="0.2">
      <c r="A776" s="3"/>
      <c r="B776" s="3"/>
      <c r="C776" s="3"/>
      <c r="D776" s="3"/>
      <c r="E776" s="3"/>
      <c r="F776" s="3"/>
      <c r="G776" s="3"/>
      <c r="H776" s="3"/>
      <c r="I776" s="3"/>
      <c r="J776" s="3"/>
      <c r="K776" s="3"/>
    </row>
    <row r="777" spans="1:11" hidden="1" x14ac:dyDescent="0.2">
      <c r="A777" s="3"/>
      <c r="B777" s="3"/>
      <c r="C777" s="3"/>
      <c r="D777" s="3"/>
      <c r="E777" s="3"/>
      <c r="F777" s="3"/>
      <c r="G777" s="3"/>
      <c r="H777" s="3"/>
      <c r="I777" s="3"/>
      <c r="J777" s="3"/>
      <c r="K777" s="3"/>
    </row>
    <row r="778" spans="1:11" hidden="1" x14ac:dyDescent="0.2">
      <c r="A778" s="3"/>
      <c r="B778" s="3"/>
      <c r="C778" s="3"/>
      <c r="D778" s="3"/>
      <c r="E778" s="3"/>
      <c r="F778" s="3"/>
      <c r="G778" s="3"/>
      <c r="H778" s="3"/>
      <c r="I778" s="3"/>
      <c r="J778" s="3"/>
      <c r="K778" s="3"/>
    </row>
    <row r="779" spans="1:11" hidden="1" x14ac:dyDescent="0.2">
      <c r="A779" s="3"/>
      <c r="B779" s="3"/>
      <c r="C779" s="3"/>
      <c r="D779" s="3"/>
      <c r="E779" s="3"/>
      <c r="F779" s="3"/>
      <c r="G779" s="3"/>
      <c r="H779" s="3"/>
      <c r="I779" s="3"/>
      <c r="J779" s="3"/>
      <c r="K779" s="3"/>
    </row>
    <row r="780" spans="1:11" hidden="1" x14ac:dyDescent="0.2">
      <c r="A780" s="3"/>
      <c r="B780" s="3"/>
      <c r="C780" s="3"/>
      <c r="D780" s="3"/>
      <c r="E780" s="3"/>
      <c r="F780" s="3"/>
      <c r="G780" s="3"/>
      <c r="H780" s="3"/>
      <c r="I780" s="3"/>
      <c r="J780" s="3"/>
      <c r="K780" s="3"/>
    </row>
    <row r="781" spans="1:11" hidden="1" x14ac:dyDescent="0.2">
      <c r="A781" s="3"/>
      <c r="B781" s="3"/>
      <c r="C781" s="3"/>
      <c r="D781" s="3"/>
      <c r="E781" s="3"/>
      <c r="F781" s="3"/>
      <c r="G781" s="3"/>
      <c r="H781" s="3"/>
      <c r="I781" s="3"/>
      <c r="J781" s="3"/>
      <c r="K781" s="3"/>
    </row>
    <row r="782" spans="1:11" hidden="1" x14ac:dyDescent="0.2">
      <c r="A782" s="3"/>
      <c r="B782" s="3"/>
      <c r="C782" s="3"/>
      <c r="D782" s="3"/>
      <c r="E782" s="3"/>
      <c r="F782" s="3"/>
      <c r="G782" s="3"/>
      <c r="H782" s="3"/>
      <c r="I782" s="3"/>
      <c r="J782" s="3"/>
      <c r="K782" s="3"/>
    </row>
    <row r="783" spans="1:11" hidden="1" x14ac:dyDescent="0.2">
      <c r="A783" s="3"/>
      <c r="B783" s="3"/>
      <c r="C783" s="3"/>
      <c r="D783" s="3"/>
      <c r="E783" s="3"/>
      <c r="F783" s="3"/>
      <c r="G783" s="3"/>
      <c r="H783" s="3"/>
      <c r="I783" s="3"/>
      <c r="J783" s="3"/>
      <c r="K783" s="3"/>
    </row>
    <row r="784" spans="1:11" hidden="1" x14ac:dyDescent="0.2">
      <c r="A784" s="3"/>
      <c r="B784" s="3"/>
      <c r="C784" s="3"/>
      <c r="D784" s="3"/>
      <c r="E784" s="3"/>
      <c r="F784" s="3"/>
      <c r="G784" s="3"/>
      <c r="H784" s="3"/>
      <c r="I784" s="3"/>
      <c r="J784" s="3"/>
      <c r="K784" s="3"/>
    </row>
    <row r="785" spans="1:11" hidden="1" x14ac:dyDescent="0.2">
      <c r="A785" s="3"/>
      <c r="B785" s="3"/>
      <c r="C785" s="3"/>
      <c r="D785" s="3"/>
      <c r="E785" s="3"/>
      <c r="F785" s="3"/>
      <c r="G785" s="3"/>
      <c r="H785" s="3"/>
      <c r="I785" s="3"/>
      <c r="J785" s="3"/>
      <c r="K785" s="3"/>
    </row>
    <row r="786" spans="1:11" hidden="1" x14ac:dyDescent="0.2">
      <c r="A786" s="3"/>
      <c r="B786" s="3"/>
      <c r="C786" s="3"/>
      <c r="D786" s="3"/>
      <c r="E786" s="3"/>
      <c r="F786" s="3"/>
      <c r="G786" s="3"/>
      <c r="H786" s="3"/>
      <c r="I786" s="3"/>
      <c r="J786" s="3"/>
      <c r="K786" s="3"/>
    </row>
    <row r="787" spans="1:11" hidden="1" x14ac:dyDescent="0.2">
      <c r="A787" s="3"/>
      <c r="B787" s="3"/>
      <c r="C787" s="3"/>
      <c r="D787" s="3"/>
      <c r="E787" s="3"/>
      <c r="F787" s="3"/>
      <c r="G787" s="3"/>
      <c r="H787" s="3"/>
      <c r="I787" s="3"/>
      <c r="J787" s="3"/>
      <c r="K787" s="3"/>
    </row>
    <row r="788" spans="1:11" hidden="1" x14ac:dyDescent="0.2">
      <c r="A788" s="3"/>
      <c r="B788" s="3"/>
      <c r="C788" s="3"/>
      <c r="D788" s="3"/>
      <c r="E788" s="3"/>
      <c r="F788" s="3"/>
      <c r="G788" s="3"/>
      <c r="H788" s="3"/>
      <c r="I788" s="3"/>
      <c r="J788" s="3"/>
      <c r="K788" s="3"/>
    </row>
    <row r="789" spans="1:11" hidden="1" x14ac:dyDescent="0.2">
      <c r="A789" s="3"/>
      <c r="B789" s="3"/>
      <c r="C789" s="3"/>
      <c r="D789" s="3"/>
      <c r="E789" s="3"/>
      <c r="F789" s="3"/>
      <c r="G789" s="3"/>
      <c r="H789" s="3"/>
      <c r="I789" s="3"/>
      <c r="J789" s="3"/>
      <c r="K789" s="3"/>
    </row>
    <row r="790" spans="1:11" hidden="1" x14ac:dyDescent="0.2">
      <c r="A790" s="3"/>
      <c r="B790" s="3"/>
      <c r="C790" s="3"/>
      <c r="D790" s="3"/>
      <c r="E790" s="3"/>
      <c r="F790" s="3"/>
      <c r="G790" s="3"/>
      <c r="H790" s="3"/>
      <c r="I790" s="3"/>
      <c r="J790" s="3"/>
      <c r="K790" s="3"/>
    </row>
    <row r="791" spans="1:11" hidden="1" x14ac:dyDescent="0.2">
      <c r="A791" s="3"/>
      <c r="B791" s="3"/>
      <c r="C791" s="3"/>
      <c r="D791" s="3"/>
      <c r="E791" s="3"/>
      <c r="F791" s="3"/>
      <c r="G791" s="3"/>
      <c r="H791" s="3"/>
      <c r="I791" s="3"/>
      <c r="J791" s="3"/>
      <c r="K791" s="3"/>
    </row>
    <row r="792" spans="1:11" hidden="1" x14ac:dyDescent="0.2">
      <c r="A792" s="3"/>
      <c r="B792" s="3"/>
      <c r="C792" s="3"/>
      <c r="D792" s="3"/>
      <c r="E792" s="3"/>
      <c r="F792" s="3"/>
      <c r="G792" s="3"/>
      <c r="H792" s="3"/>
      <c r="I792" s="3"/>
      <c r="J792" s="3"/>
      <c r="K792" s="3"/>
    </row>
    <row r="793" spans="1:11" hidden="1" x14ac:dyDescent="0.2">
      <c r="A793" s="3"/>
      <c r="B793" s="3"/>
      <c r="C793" s="3"/>
      <c r="D793" s="3"/>
      <c r="E793" s="3"/>
      <c r="F793" s="3"/>
      <c r="G793" s="3"/>
      <c r="H793" s="3"/>
      <c r="I793" s="3"/>
      <c r="J793" s="3"/>
      <c r="K793" s="3"/>
    </row>
    <row r="794" spans="1:11" hidden="1" x14ac:dyDescent="0.2">
      <c r="A794" s="3"/>
      <c r="B794" s="3"/>
      <c r="C794" s="3"/>
      <c r="D794" s="3"/>
      <c r="E794" s="3"/>
      <c r="F794" s="3"/>
      <c r="G794" s="3"/>
      <c r="H794" s="3"/>
      <c r="I794" s="3"/>
      <c r="J794" s="3"/>
      <c r="K794" s="3"/>
    </row>
    <row r="795" spans="1:11" hidden="1" x14ac:dyDescent="0.2">
      <c r="A795" s="3"/>
      <c r="B795" s="3"/>
      <c r="C795" s="3"/>
      <c r="D795" s="3"/>
      <c r="E795" s="3"/>
      <c r="F795" s="3"/>
      <c r="G795" s="3"/>
      <c r="H795" s="3"/>
      <c r="I795" s="3"/>
      <c r="J795" s="3"/>
      <c r="K795" s="3"/>
    </row>
    <row r="796" spans="1:11" hidden="1" x14ac:dyDescent="0.2">
      <c r="A796" s="3"/>
      <c r="B796" s="3"/>
      <c r="C796" s="3"/>
      <c r="D796" s="3"/>
      <c r="E796" s="3"/>
      <c r="F796" s="3"/>
      <c r="G796" s="3"/>
      <c r="H796" s="3"/>
      <c r="I796" s="3"/>
      <c r="J796" s="3"/>
      <c r="K796" s="3"/>
    </row>
    <row r="797" spans="1:11" hidden="1" x14ac:dyDescent="0.2">
      <c r="A797" s="3"/>
      <c r="B797" s="3"/>
      <c r="C797" s="3"/>
      <c r="D797" s="3"/>
      <c r="E797" s="3"/>
      <c r="F797" s="3"/>
      <c r="G797" s="3"/>
      <c r="H797" s="3"/>
      <c r="I797" s="3"/>
      <c r="J797" s="3"/>
      <c r="K797" s="3"/>
    </row>
    <row r="798" spans="1:11" hidden="1" x14ac:dyDescent="0.2">
      <c r="A798" s="3"/>
      <c r="B798" s="3"/>
      <c r="C798" s="3"/>
      <c r="D798" s="3"/>
      <c r="E798" s="3"/>
      <c r="F798" s="3"/>
      <c r="G798" s="3"/>
      <c r="H798" s="3"/>
      <c r="I798" s="3"/>
      <c r="J798" s="3"/>
      <c r="K798" s="3"/>
    </row>
    <row r="799" spans="1:11" hidden="1" x14ac:dyDescent="0.2">
      <c r="A799" s="3"/>
      <c r="B799" s="3"/>
      <c r="C799" s="3"/>
      <c r="D799" s="3"/>
      <c r="E799" s="3"/>
      <c r="F799" s="3"/>
      <c r="G799" s="3"/>
      <c r="H799" s="3"/>
      <c r="I799" s="3"/>
      <c r="J799" s="3"/>
      <c r="K799" s="3"/>
    </row>
    <row r="800" spans="1:11" hidden="1" x14ac:dyDescent="0.2">
      <c r="A800" s="3"/>
      <c r="B800" s="3"/>
      <c r="C800" s="3"/>
      <c r="D800" s="3"/>
      <c r="E800" s="3"/>
      <c r="F800" s="3"/>
      <c r="G800" s="3"/>
      <c r="H800" s="3"/>
      <c r="I800" s="3"/>
      <c r="J800" s="3"/>
      <c r="K800" s="3"/>
    </row>
    <row r="801" spans="1:11" hidden="1" x14ac:dyDescent="0.2">
      <c r="A801" s="3"/>
      <c r="B801" s="3"/>
      <c r="C801" s="3"/>
      <c r="D801" s="3"/>
      <c r="E801" s="3"/>
      <c r="F801" s="3"/>
      <c r="G801" s="3"/>
      <c r="H801" s="3"/>
      <c r="I801" s="3"/>
      <c r="J801" s="3"/>
      <c r="K801" s="3"/>
    </row>
    <row r="802" spans="1:11" hidden="1" x14ac:dyDescent="0.2">
      <c r="A802" s="3"/>
      <c r="B802" s="3"/>
      <c r="C802" s="3"/>
      <c r="D802" s="3"/>
      <c r="E802" s="3"/>
      <c r="F802" s="3"/>
      <c r="G802" s="3"/>
      <c r="H802" s="3"/>
      <c r="I802" s="3"/>
      <c r="J802" s="3"/>
      <c r="K802" s="3"/>
    </row>
    <row r="803" spans="1:11" hidden="1" x14ac:dyDescent="0.2">
      <c r="A803" s="3"/>
      <c r="B803" s="3"/>
      <c r="C803" s="3"/>
      <c r="D803" s="3"/>
      <c r="E803" s="3"/>
      <c r="F803" s="3"/>
      <c r="G803" s="3"/>
      <c r="H803" s="3"/>
      <c r="I803" s="3"/>
      <c r="J803" s="3"/>
      <c r="K803" s="3"/>
    </row>
    <row r="804" spans="1:11" hidden="1" x14ac:dyDescent="0.2">
      <c r="A804" s="3"/>
      <c r="B804" s="3"/>
      <c r="C804" s="3"/>
      <c r="D804" s="3"/>
      <c r="E804" s="3"/>
      <c r="F804" s="3"/>
      <c r="G804" s="3"/>
      <c r="H804" s="3"/>
      <c r="I804" s="3"/>
      <c r="J804" s="3"/>
      <c r="K804" s="3"/>
    </row>
    <row r="805" spans="1:11" hidden="1" x14ac:dyDescent="0.2">
      <c r="A805" s="3"/>
      <c r="B805" s="3"/>
      <c r="C805" s="3"/>
      <c r="D805" s="3"/>
      <c r="E805" s="3"/>
      <c r="F805" s="3"/>
      <c r="G805" s="3"/>
      <c r="H805" s="3"/>
      <c r="I805" s="3"/>
      <c r="J805" s="3"/>
      <c r="K805" s="3"/>
    </row>
    <row r="806" spans="1:11" hidden="1" x14ac:dyDescent="0.2">
      <c r="A806" s="3"/>
      <c r="B806" s="3"/>
      <c r="C806" s="3"/>
      <c r="D806" s="3"/>
      <c r="E806" s="3"/>
      <c r="F806" s="3"/>
      <c r="G806" s="3"/>
      <c r="H806" s="3"/>
      <c r="I806" s="3"/>
      <c r="J806" s="3"/>
      <c r="K806" s="3"/>
    </row>
    <row r="807" spans="1:11" hidden="1" x14ac:dyDescent="0.2">
      <c r="A807" s="3"/>
      <c r="B807" s="3"/>
      <c r="C807" s="3"/>
      <c r="D807" s="3"/>
      <c r="E807" s="3"/>
      <c r="F807" s="3"/>
      <c r="G807" s="3"/>
      <c r="H807" s="3"/>
      <c r="I807" s="3"/>
      <c r="J807" s="3"/>
      <c r="K807" s="3"/>
    </row>
    <row r="808" spans="1:11" hidden="1" x14ac:dyDescent="0.2">
      <c r="A808" s="3"/>
      <c r="B808" s="3"/>
      <c r="C808" s="3"/>
      <c r="D808" s="3"/>
      <c r="E808" s="3"/>
      <c r="F808" s="3"/>
      <c r="G808" s="3"/>
      <c r="H808" s="3"/>
      <c r="I808" s="3"/>
      <c r="J808" s="3"/>
      <c r="K808" s="3"/>
    </row>
    <row r="809" spans="1:11" hidden="1" x14ac:dyDescent="0.2">
      <c r="A809" s="3"/>
      <c r="B809" s="3"/>
      <c r="C809" s="3"/>
      <c r="D809" s="3"/>
      <c r="E809" s="3"/>
      <c r="F809" s="3"/>
      <c r="G809" s="3"/>
      <c r="H809" s="3"/>
      <c r="I809" s="3"/>
      <c r="J809" s="3"/>
      <c r="K809" s="3"/>
    </row>
    <row r="810" spans="1:11" hidden="1" x14ac:dyDescent="0.2">
      <c r="A810" s="3"/>
      <c r="B810" s="3"/>
      <c r="C810" s="3"/>
      <c r="D810" s="3"/>
      <c r="E810" s="3"/>
      <c r="F810" s="3"/>
      <c r="G810" s="3"/>
      <c r="H810" s="3"/>
      <c r="I810" s="3"/>
      <c r="J810" s="3"/>
      <c r="K810" s="3"/>
    </row>
    <row r="811" spans="1:11" hidden="1" x14ac:dyDescent="0.2">
      <c r="A811" s="3"/>
      <c r="B811" s="3"/>
      <c r="C811" s="3"/>
      <c r="D811" s="3"/>
      <c r="E811" s="3"/>
      <c r="F811" s="3"/>
      <c r="G811" s="3"/>
      <c r="H811" s="3"/>
      <c r="I811" s="3"/>
      <c r="J811" s="3"/>
      <c r="K811" s="3"/>
    </row>
    <row r="812" spans="1:11" hidden="1" x14ac:dyDescent="0.2">
      <c r="A812" s="3"/>
      <c r="B812" s="3"/>
      <c r="C812" s="3"/>
      <c r="D812" s="3"/>
      <c r="E812" s="3"/>
      <c r="F812" s="3"/>
      <c r="G812" s="3"/>
      <c r="H812" s="3"/>
      <c r="I812" s="3"/>
      <c r="J812" s="3"/>
      <c r="K812" s="3"/>
    </row>
    <row r="813" spans="1:11" hidden="1" x14ac:dyDescent="0.2">
      <c r="A813" s="3"/>
      <c r="B813" s="3"/>
      <c r="C813" s="3"/>
      <c r="D813" s="3"/>
      <c r="E813" s="3"/>
      <c r="F813" s="3"/>
      <c r="G813" s="3"/>
      <c r="H813" s="3"/>
      <c r="I813" s="3"/>
      <c r="J813" s="3"/>
      <c r="K813" s="3"/>
    </row>
    <row r="814" spans="1:11" hidden="1" x14ac:dyDescent="0.2">
      <c r="A814" s="3"/>
      <c r="B814" s="3"/>
      <c r="C814" s="3"/>
      <c r="D814" s="3"/>
      <c r="E814" s="3"/>
      <c r="F814" s="3"/>
      <c r="G814" s="3"/>
      <c r="H814" s="3"/>
      <c r="I814" s="3"/>
      <c r="J814" s="3"/>
      <c r="K814" s="3"/>
    </row>
    <row r="815" spans="1:11" hidden="1" x14ac:dyDescent="0.2">
      <c r="A815" s="3"/>
      <c r="B815" s="3"/>
      <c r="C815" s="3"/>
      <c r="D815" s="3"/>
      <c r="E815" s="3"/>
      <c r="F815" s="3"/>
      <c r="G815" s="3"/>
      <c r="H815" s="3"/>
      <c r="I815" s="3"/>
      <c r="J815" s="3"/>
      <c r="K815" s="3"/>
    </row>
    <row r="816" spans="1:11" hidden="1" x14ac:dyDescent="0.2">
      <c r="A816" s="3"/>
      <c r="B816" s="3"/>
      <c r="C816" s="3"/>
      <c r="D816" s="3"/>
      <c r="E816" s="3"/>
      <c r="F816" s="3"/>
      <c r="G816" s="3"/>
      <c r="H816" s="3"/>
      <c r="I816" s="3"/>
      <c r="J816" s="3"/>
      <c r="K816" s="3"/>
    </row>
    <row r="817" spans="1:11" hidden="1" x14ac:dyDescent="0.2">
      <c r="A817" s="3"/>
      <c r="B817" s="3"/>
      <c r="C817" s="3"/>
      <c r="D817" s="3"/>
      <c r="E817" s="3"/>
      <c r="F817" s="3"/>
      <c r="G817" s="3"/>
      <c r="H817" s="3"/>
      <c r="I817" s="3"/>
      <c r="J817" s="3"/>
      <c r="K817" s="3"/>
    </row>
    <row r="818" spans="1:11" hidden="1" x14ac:dyDescent="0.2">
      <c r="A818" s="3"/>
      <c r="B818" s="3"/>
      <c r="C818" s="3"/>
      <c r="D818" s="3"/>
      <c r="E818" s="3"/>
      <c r="F818" s="3"/>
      <c r="G818" s="3"/>
      <c r="H818" s="3"/>
      <c r="I818" s="3"/>
      <c r="J818" s="3"/>
      <c r="K818" s="3"/>
    </row>
    <row r="819" spans="1:11" hidden="1" x14ac:dyDescent="0.2">
      <c r="A819" s="3"/>
      <c r="B819" s="3"/>
      <c r="C819" s="3"/>
      <c r="D819" s="3"/>
      <c r="E819" s="3"/>
      <c r="F819" s="3"/>
      <c r="G819" s="3"/>
      <c r="H819" s="3"/>
      <c r="I819" s="3"/>
      <c r="J819" s="3"/>
      <c r="K819" s="3"/>
    </row>
    <row r="820" spans="1:11" hidden="1" x14ac:dyDescent="0.2">
      <c r="A820" s="3"/>
      <c r="B820" s="3"/>
      <c r="C820" s="3"/>
      <c r="D820" s="3"/>
      <c r="E820" s="3"/>
      <c r="F820" s="3"/>
      <c r="G820" s="3"/>
      <c r="H820" s="3"/>
      <c r="I820" s="3"/>
      <c r="J820" s="3"/>
      <c r="K820" s="3"/>
    </row>
    <row r="821" spans="1:11" hidden="1" x14ac:dyDescent="0.2">
      <c r="A821" s="3"/>
      <c r="B821" s="3"/>
      <c r="C821" s="3"/>
      <c r="D821" s="3"/>
      <c r="E821" s="3"/>
      <c r="F821" s="3"/>
      <c r="G821" s="3"/>
      <c r="H821" s="3"/>
      <c r="I821" s="3"/>
      <c r="J821" s="3"/>
      <c r="K821" s="3"/>
    </row>
    <row r="822" spans="1:11" hidden="1" x14ac:dyDescent="0.2">
      <c r="A822" s="3"/>
      <c r="B822" s="3"/>
      <c r="C822" s="3"/>
      <c r="D822" s="3"/>
      <c r="E822" s="3"/>
      <c r="F822" s="3"/>
      <c r="G822" s="3"/>
      <c r="H822" s="3"/>
      <c r="I822" s="3"/>
      <c r="J822" s="3"/>
      <c r="K822" s="3"/>
    </row>
    <row r="823" spans="1:11" hidden="1" x14ac:dyDescent="0.2">
      <c r="A823" s="3"/>
      <c r="B823" s="3"/>
      <c r="C823" s="3"/>
      <c r="D823" s="3"/>
      <c r="E823" s="3"/>
      <c r="F823" s="3"/>
      <c r="G823" s="3"/>
      <c r="H823" s="3"/>
      <c r="I823" s="3"/>
      <c r="J823" s="3"/>
      <c r="K823" s="3"/>
    </row>
    <row r="824" spans="1:11" hidden="1" x14ac:dyDescent="0.2">
      <c r="A824" s="3"/>
      <c r="B824" s="3"/>
      <c r="C824" s="3"/>
      <c r="D824" s="3"/>
      <c r="E824" s="3"/>
      <c r="F824" s="3"/>
      <c r="G824" s="3"/>
      <c r="H824" s="3"/>
      <c r="I824" s="3"/>
      <c r="J824" s="3"/>
      <c r="K824" s="3"/>
    </row>
    <row r="825" spans="1:11" hidden="1" x14ac:dyDescent="0.2">
      <c r="A825" s="3"/>
      <c r="B825" s="3"/>
      <c r="C825" s="3"/>
      <c r="D825" s="3"/>
      <c r="E825" s="3"/>
      <c r="F825" s="3"/>
      <c r="G825" s="3"/>
      <c r="H825" s="3"/>
      <c r="I825" s="3"/>
      <c r="J825" s="3"/>
      <c r="K825" s="3"/>
    </row>
    <row r="826" spans="1:11" hidden="1" x14ac:dyDescent="0.2">
      <c r="A826" s="3"/>
      <c r="B826" s="3"/>
      <c r="C826" s="3"/>
      <c r="D826" s="3"/>
      <c r="E826" s="3"/>
      <c r="F826" s="3"/>
      <c r="G826" s="3"/>
      <c r="H826" s="3"/>
      <c r="I826" s="3"/>
      <c r="J826" s="3"/>
      <c r="K826" s="3"/>
    </row>
    <row r="827" spans="1:11" hidden="1" x14ac:dyDescent="0.2">
      <c r="A827" s="3"/>
      <c r="B827" s="3"/>
      <c r="C827" s="3"/>
      <c r="D827" s="3"/>
      <c r="E827" s="3"/>
      <c r="F827" s="3"/>
      <c r="G827" s="3"/>
      <c r="H827" s="3"/>
      <c r="I827" s="3"/>
      <c r="J827" s="3"/>
      <c r="K827" s="3"/>
    </row>
    <row r="828" spans="1:11" hidden="1" x14ac:dyDescent="0.2">
      <c r="A828" s="3"/>
      <c r="B828" s="3"/>
      <c r="C828" s="3"/>
      <c r="D828" s="3"/>
      <c r="E828" s="3"/>
      <c r="F828" s="3"/>
      <c r="G828" s="3"/>
      <c r="H828" s="3"/>
      <c r="I828" s="3"/>
      <c r="J828" s="3"/>
      <c r="K828" s="3"/>
    </row>
    <row r="829" spans="1:11" hidden="1" x14ac:dyDescent="0.2">
      <c r="A829" s="3"/>
      <c r="B829" s="3"/>
      <c r="C829" s="3"/>
      <c r="D829" s="3"/>
      <c r="E829" s="3"/>
      <c r="F829" s="3"/>
      <c r="G829" s="3"/>
      <c r="H829" s="3"/>
      <c r="I829" s="3"/>
      <c r="J829" s="3"/>
      <c r="K829" s="3"/>
    </row>
    <row r="830" spans="1:11" hidden="1" x14ac:dyDescent="0.2">
      <c r="A830" s="3"/>
      <c r="B830" s="3"/>
      <c r="C830" s="3"/>
      <c r="D830" s="3"/>
      <c r="E830" s="3"/>
      <c r="F830" s="3"/>
      <c r="G830" s="3"/>
      <c r="H830" s="3"/>
      <c r="I830" s="3"/>
      <c r="J830" s="3"/>
      <c r="K830" s="3"/>
    </row>
    <row r="831" spans="1:11" hidden="1" x14ac:dyDescent="0.2">
      <c r="A831" s="3"/>
      <c r="B831" s="3"/>
      <c r="C831" s="3"/>
      <c r="D831" s="3"/>
      <c r="E831" s="3"/>
      <c r="F831" s="3"/>
      <c r="G831" s="3"/>
      <c r="H831" s="3"/>
      <c r="I831" s="3"/>
      <c r="J831" s="3"/>
      <c r="K831" s="3"/>
    </row>
    <row r="832" spans="1:11" hidden="1" x14ac:dyDescent="0.2">
      <c r="A832" s="3"/>
      <c r="B832" s="3"/>
      <c r="C832" s="3"/>
      <c r="D832" s="3"/>
      <c r="E832" s="3"/>
      <c r="F832" s="3"/>
      <c r="G832" s="3"/>
      <c r="H832" s="3"/>
      <c r="I832" s="3"/>
      <c r="J832" s="3"/>
      <c r="K832" s="3"/>
    </row>
    <row r="833" spans="1:11" hidden="1" x14ac:dyDescent="0.2">
      <c r="A833" s="3"/>
      <c r="B833" s="3"/>
      <c r="C833" s="3"/>
      <c r="D833" s="3"/>
      <c r="E833" s="3"/>
      <c r="F833" s="3"/>
      <c r="G833" s="3"/>
      <c r="H833" s="3"/>
      <c r="I833" s="3"/>
      <c r="J833" s="3"/>
      <c r="K833" s="3"/>
    </row>
    <row r="834" spans="1:11" hidden="1" x14ac:dyDescent="0.2">
      <c r="A834" s="3"/>
      <c r="B834" s="3"/>
      <c r="C834" s="3"/>
      <c r="D834" s="3"/>
      <c r="E834" s="3"/>
      <c r="F834" s="3"/>
      <c r="G834" s="3"/>
      <c r="H834" s="3"/>
      <c r="I834" s="3"/>
      <c r="J834" s="3"/>
      <c r="K834" s="3"/>
    </row>
    <row r="835" spans="1:11" hidden="1" x14ac:dyDescent="0.2">
      <c r="A835" s="3"/>
      <c r="B835" s="3"/>
      <c r="C835" s="3"/>
      <c r="D835" s="3"/>
      <c r="E835" s="3"/>
      <c r="F835" s="3"/>
      <c r="G835" s="3"/>
      <c r="H835" s="3"/>
      <c r="I835" s="3"/>
      <c r="J835" s="3"/>
      <c r="K835" s="3"/>
    </row>
    <row r="836" spans="1:11" hidden="1" x14ac:dyDescent="0.2">
      <c r="A836" s="3"/>
      <c r="B836" s="3"/>
      <c r="C836" s="3"/>
      <c r="D836" s="3"/>
      <c r="E836" s="3"/>
      <c r="F836" s="3"/>
      <c r="G836" s="3"/>
      <c r="H836" s="3"/>
      <c r="I836" s="3"/>
      <c r="J836" s="3"/>
      <c r="K836" s="3"/>
    </row>
    <row r="837" spans="1:11" hidden="1" x14ac:dyDescent="0.2">
      <c r="A837" s="3"/>
      <c r="B837" s="3"/>
      <c r="C837" s="3"/>
      <c r="D837" s="3"/>
      <c r="E837" s="3"/>
      <c r="F837" s="3"/>
      <c r="G837" s="3"/>
      <c r="H837" s="3"/>
      <c r="I837" s="3"/>
      <c r="J837" s="3"/>
      <c r="K837" s="3"/>
    </row>
    <row r="838" spans="1:11" hidden="1" x14ac:dyDescent="0.2">
      <c r="A838" s="3"/>
      <c r="B838" s="3"/>
      <c r="C838" s="3"/>
      <c r="D838" s="3"/>
      <c r="E838" s="3"/>
      <c r="F838" s="3"/>
      <c r="G838" s="3"/>
      <c r="H838" s="3"/>
      <c r="I838" s="3"/>
      <c r="J838" s="3"/>
      <c r="K838" s="3"/>
    </row>
    <row r="839" spans="1:11" hidden="1" x14ac:dyDescent="0.2">
      <c r="A839" s="3"/>
      <c r="B839" s="3"/>
      <c r="C839" s="3"/>
      <c r="D839" s="3"/>
      <c r="E839" s="3"/>
      <c r="F839" s="3"/>
      <c r="G839" s="3"/>
      <c r="H839" s="3"/>
      <c r="I839" s="3"/>
      <c r="J839" s="3"/>
      <c r="K839" s="3"/>
    </row>
    <row r="840" spans="1:11" hidden="1" x14ac:dyDescent="0.2">
      <c r="A840" s="3"/>
      <c r="B840" s="3"/>
      <c r="C840" s="3"/>
      <c r="D840" s="3"/>
      <c r="E840" s="3"/>
      <c r="F840" s="3"/>
      <c r="G840" s="3"/>
      <c r="H840" s="3"/>
      <c r="I840" s="3"/>
      <c r="J840" s="3"/>
      <c r="K840" s="3"/>
    </row>
    <row r="841" spans="1:11" hidden="1" x14ac:dyDescent="0.2">
      <c r="A841" s="3"/>
      <c r="B841" s="3"/>
      <c r="C841" s="3"/>
      <c r="D841" s="3"/>
      <c r="E841" s="3"/>
      <c r="F841" s="3"/>
      <c r="G841" s="3"/>
      <c r="H841" s="3"/>
      <c r="I841" s="3"/>
      <c r="J841" s="3"/>
      <c r="K841" s="3"/>
    </row>
    <row r="842" spans="1:11" hidden="1" x14ac:dyDescent="0.2">
      <c r="A842" s="3"/>
      <c r="B842" s="3"/>
      <c r="C842" s="3"/>
      <c r="D842" s="3"/>
      <c r="E842" s="3"/>
      <c r="F842" s="3"/>
      <c r="G842" s="3"/>
      <c r="H842" s="3"/>
      <c r="I842" s="3"/>
      <c r="J842" s="3"/>
      <c r="K842" s="3"/>
    </row>
    <row r="843" spans="1:11" hidden="1" x14ac:dyDescent="0.2">
      <c r="A843" s="3"/>
      <c r="B843" s="3"/>
      <c r="C843" s="3"/>
      <c r="D843" s="3"/>
      <c r="E843" s="3"/>
      <c r="F843" s="3"/>
      <c r="G843" s="3"/>
      <c r="H843" s="3"/>
      <c r="I843" s="3"/>
      <c r="J843" s="3"/>
      <c r="K843" s="3"/>
    </row>
    <row r="844" spans="1:11" hidden="1" x14ac:dyDescent="0.2">
      <c r="A844" s="3"/>
      <c r="B844" s="3"/>
      <c r="C844" s="3"/>
      <c r="D844" s="3"/>
      <c r="E844" s="3"/>
      <c r="F844" s="3"/>
      <c r="G844" s="3"/>
      <c r="H844" s="3"/>
      <c r="I844" s="3"/>
      <c r="J844" s="3"/>
      <c r="K844" s="3"/>
    </row>
    <row r="845" spans="1:11" hidden="1" x14ac:dyDescent="0.2">
      <c r="A845" s="3"/>
      <c r="B845" s="3"/>
      <c r="C845" s="3"/>
      <c r="D845" s="3"/>
      <c r="E845" s="3"/>
      <c r="F845" s="3"/>
      <c r="G845" s="3"/>
      <c r="H845" s="3"/>
      <c r="I845" s="3"/>
      <c r="J845" s="3"/>
      <c r="K845" s="3"/>
    </row>
    <row r="846" spans="1:11" hidden="1" x14ac:dyDescent="0.2">
      <c r="A846" s="3"/>
      <c r="B846" s="3"/>
      <c r="C846" s="3"/>
      <c r="D846" s="3"/>
      <c r="E846" s="3"/>
      <c r="F846" s="3"/>
      <c r="G846" s="3"/>
      <c r="H846" s="3"/>
      <c r="I846" s="3"/>
      <c r="J846" s="3"/>
      <c r="K846" s="3"/>
    </row>
    <row r="847" spans="1:11" hidden="1" x14ac:dyDescent="0.2">
      <c r="A847" s="3"/>
      <c r="B847" s="3"/>
      <c r="C847" s="3"/>
      <c r="D847" s="3"/>
      <c r="E847" s="3"/>
      <c r="F847" s="3"/>
      <c r="G847" s="3"/>
      <c r="H847" s="3"/>
      <c r="I847" s="3"/>
      <c r="J847" s="3"/>
      <c r="K847" s="3"/>
    </row>
    <row r="848" spans="1:11" hidden="1" x14ac:dyDescent="0.2">
      <c r="A848" s="3"/>
      <c r="B848" s="3"/>
      <c r="C848" s="3"/>
      <c r="D848" s="3"/>
      <c r="E848" s="3"/>
      <c r="F848" s="3"/>
      <c r="G848" s="3"/>
      <c r="H848" s="3"/>
      <c r="I848" s="3"/>
      <c r="J848" s="3"/>
      <c r="K848" s="3"/>
    </row>
    <row r="849" spans="1:11" hidden="1" x14ac:dyDescent="0.2">
      <c r="A849" s="3"/>
      <c r="B849" s="3"/>
      <c r="C849" s="3"/>
      <c r="D849" s="3"/>
      <c r="E849" s="3"/>
      <c r="F849" s="3"/>
      <c r="G849" s="3"/>
      <c r="H849" s="3"/>
      <c r="I849" s="3"/>
      <c r="J849" s="3"/>
      <c r="K849" s="3"/>
    </row>
    <row r="850" spans="1:11" hidden="1" x14ac:dyDescent="0.2">
      <c r="A850" s="3"/>
      <c r="B850" s="3"/>
      <c r="C850" s="3"/>
      <c r="D850" s="3"/>
      <c r="E850" s="3"/>
      <c r="F850" s="3"/>
      <c r="G850" s="3"/>
      <c r="H850" s="3"/>
      <c r="I850" s="3"/>
      <c r="J850" s="3"/>
      <c r="K850" s="3"/>
    </row>
    <row r="851" spans="1:11" hidden="1" x14ac:dyDescent="0.2">
      <c r="A851" s="3"/>
      <c r="B851" s="3"/>
      <c r="C851" s="3"/>
      <c r="D851" s="3"/>
      <c r="E851" s="3"/>
      <c r="F851" s="3"/>
      <c r="G851" s="3"/>
      <c r="H851" s="3"/>
      <c r="I851" s="3"/>
      <c r="J851" s="3"/>
      <c r="K851" s="3"/>
    </row>
    <row r="852" spans="1:11" hidden="1" x14ac:dyDescent="0.2">
      <c r="A852" s="3"/>
      <c r="B852" s="3"/>
      <c r="C852" s="3"/>
      <c r="D852" s="3"/>
      <c r="E852" s="3"/>
      <c r="F852" s="3"/>
      <c r="G852" s="3"/>
      <c r="H852" s="3"/>
      <c r="I852" s="3"/>
      <c r="J852" s="3"/>
      <c r="K852" s="3"/>
    </row>
    <row r="853" spans="1:11" hidden="1" x14ac:dyDescent="0.2">
      <c r="A853" s="3"/>
      <c r="B853" s="3"/>
      <c r="C853" s="3"/>
      <c r="D853" s="3"/>
      <c r="E853" s="3"/>
      <c r="F853" s="3"/>
      <c r="G853" s="3"/>
      <c r="H853" s="3"/>
      <c r="I853" s="3"/>
      <c r="J853" s="3"/>
      <c r="K853" s="3"/>
    </row>
    <row r="854" spans="1:11" hidden="1" x14ac:dyDescent="0.2">
      <c r="A854" s="3"/>
      <c r="B854" s="3"/>
      <c r="C854" s="3"/>
      <c r="D854" s="3"/>
      <c r="E854" s="3"/>
      <c r="F854" s="3"/>
      <c r="G854" s="3"/>
      <c r="H854" s="3"/>
      <c r="I854" s="3"/>
      <c r="J854" s="3"/>
      <c r="K854" s="3"/>
    </row>
    <row r="855" spans="1:11" hidden="1" x14ac:dyDescent="0.2">
      <c r="A855" s="3"/>
      <c r="B855" s="3"/>
      <c r="C855" s="3"/>
      <c r="D855" s="3"/>
      <c r="E855" s="3"/>
      <c r="F855" s="3"/>
      <c r="G855" s="3"/>
      <c r="H855" s="3"/>
      <c r="I855" s="3"/>
      <c r="J855" s="3"/>
      <c r="K855" s="3"/>
    </row>
    <row r="856" spans="1:11" hidden="1" x14ac:dyDescent="0.2">
      <c r="A856" s="3"/>
      <c r="B856" s="3"/>
      <c r="C856" s="3"/>
      <c r="D856" s="3"/>
      <c r="E856" s="3"/>
      <c r="F856" s="3"/>
      <c r="G856" s="3"/>
      <c r="H856" s="3"/>
      <c r="I856" s="3"/>
      <c r="J856" s="3"/>
      <c r="K856" s="3"/>
    </row>
    <row r="857" spans="1:11" hidden="1" x14ac:dyDescent="0.2">
      <c r="A857" s="3"/>
      <c r="B857" s="3"/>
      <c r="C857" s="3"/>
      <c r="D857" s="3"/>
      <c r="E857" s="3"/>
      <c r="F857" s="3"/>
      <c r="G857" s="3"/>
      <c r="H857" s="3"/>
      <c r="I857" s="3"/>
      <c r="J857" s="3"/>
      <c r="K857" s="3"/>
    </row>
    <row r="858" spans="1:11" hidden="1" x14ac:dyDescent="0.2">
      <c r="A858" s="3"/>
      <c r="B858" s="3"/>
      <c r="C858" s="3"/>
      <c r="D858" s="3"/>
      <c r="E858" s="3"/>
      <c r="F858" s="3"/>
      <c r="G858" s="3"/>
      <c r="H858" s="3"/>
      <c r="I858" s="3"/>
      <c r="J858" s="3"/>
      <c r="K858" s="3"/>
    </row>
    <row r="859" spans="1:11" hidden="1" x14ac:dyDescent="0.2">
      <c r="A859" s="3"/>
      <c r="B859" s="3"/>
      <c r="C859" s="3"/>
      <c r="D859" s="3"/>
      <c r="E859" s="3"/>
      <c r="F859" s="3"/>
      <c r="G859" s="3"/>
      <c r="H859" s="3"/>
      <c r="I859" s="3"/>
      <c r="J859" s="3"/>
      <c r="K859" s="3"/>
    </row>
    <row r="860" spans="1:11" hidden="1" x14ac:dyDescent="0.2">
      <c r="A860" s="3"/>
      <c r="B860" s="3"/>
      <c r="C860" s="3"/>
      <c r="D860" s="3"/>
      <c r="E860" s="3"/>
      <c r="F860" s="3"/>
      <c r="G860" s="3"/>
      <c r="H860" s="3"/>
      <c r="I860" s="3"/>
      <c r="J860" s="3"/>
      <c r="K860" s="3"/>
    </row>
    <row r="861" spans="1:11" hidden="1" x14ac:dyDescent="0.2">
      <c r="A861" s="3"/>
      <c r="B861" s="3"/>
      <c r="C861" s="3"/>
      <c r="D861" s="3"/>
      <c r="E861" s="3"/>
      <c r="F861" s="3"/>
      <c r="G861" s="3"/>
      <c r="H861" s="3"/>
      <c r="I861" s="3"/>
      <c r="J861" s="3"/>
      <c r="K861" s="3"/>
    </row>
    <row r="862" spans="1:11" hidden="1" x14ac:dyDescent="0.2">
      <c r="A862" s="3"/>
      <c r="B862" s="3"/>
      <c r="C862" s="3"/>
      <c r="D862" s="3"/>
      <c r="E862" s="3"/>
      <c r="F862" s="3"/>
      <c r="G862" s="3"/>
      <c r="H862" s="3"/>
      <c r="I862" s="3"/>
      <c r="J862" s="3"/>
      <c r="K862" s="3"/>
    </row>
    <row r="863" spans="1:11" hidden="1" x14ac:dyDescent="0.2">
      <c r="A863" s="3"/>
      <c r="B863" s="3"/>
      <c r="C863" s="3"/>
      <c r="D863" s="3"/>
      <c r="E863" s="3"/>
      <c r="F863" s="3"/>
      <c r="G863" s="3"/>
      <c r="H863" s="3"/>
      <c r="I863" s="3"/>
      <c r="J863" s="3"/>
      <c r="K863" s="3"/>
    </row>
    <row r="864" spans="1:11" hidden="1" x14ac:dyDescent="0.2">
      <c r="A864" s="3"/>
      <c r="B864" s="3"/>
      <c r="C864" s="3"/>
      <c r="D864" s="3"/>
      <c r="E864" s="3"/>
      <c r="F864" s="3"/>
      <c r="G864" s="3"/>
      <c r="H864" s="3"/>
      <c r="I864" s="3"/>
      <c r="J864" s="3"/>
      <c r="K864" s="3"/>
    </row>
    <row r="865" spans="1:11" hidden="1" x14ac:dyDescent="0.2">
      <c r="A865" s="3"/>
      <c r="B865" s="3"/>
      <c r="C865" s="3"/>
      <c r="D865" s="3"/>
      <c r="E865" s="3"/>
      <c r="F865" s="3"/>
      <c r="G865" s="3"/>
      <c r="H865" s="3"/>
      <c r="I865" s="3"/>
      <c r="J865" s="3"/>
      <c r="K865" s="3"/>
    </row>
    <row r="866" spans="1:11" hidden="1" x14ac:dyDescent="0.2">
      <c r="A866" s="3"/>
      <c r="B866" s="3"/>
      <c r="C866" s="3"/>
      <c r="D866" s="3"/>
      <c r="E866" s="3"/>
      <c r="F866" s="3"/>
      <c r="G866" s="3"/>
      <c r="H866" s="3"/>
      <c r="I866" s="3"/>
      <c r="J866" s="3"/>
      <c r="K866" s="3"/>
    </row>
    <row r="867" spans="1:11" hidden="1" x14ac:dyDescent="0.2">
      <c r="A867" s="3"/>
      <c r="B867" s="3"/>
      <c r="C867" s="3"/>
      <c r="D867" s="3"/>
      <c r="E867" s="3"/>
      <c r="F867" s="3"/>
      <c r="G867" s="3"/>
      <c r="H867" s="3"/>
      <c r="I867" s="3"/>
      <c r="J867" s="3"/>
      <c r="K867" s="3"/>
    </row>
    <row r="868" spans="1:11" hidden="1" x14ac:dyDescent="0.2">
      <c r="A868" s="3"/>
      <c r="B868" s="3"/>
      <c r="C868" s="3"/>
      <c r="D868" s="3"/>
      <c r="E868" s="3"/>
      <c r="F868" s="3"/>
      <c r="G868" s="3"/>
      <c r="H868" s="3"/>
      <c r="I868" s="3"/>
      <c r="J868" s="3"/>
      <c r="K868" s="3"/>
    </row>
    <row r="869" spans="1:11" hidden="1" x14ac:dyDescent="0.2">
      <c r="A869" s="3"/>
      <c r="B869" s="3"/>
      <c r="C869" s="3"/>
      <c r="D869" s="3"/>
      <c r="E869" s="3"/>
      <c r="F869" s="3"/>
      <c r="G869" s="3"/>
      <c r="H869" s="3"/>
      <c r="I869" s="3"/>
      <c r="J869" s="3"/>
      <c r="K869" s="3"/>
    </row>
    <row r="870" spans="1:11" hidden="1" x14ac:dyDescent="0.2">
      <c r="A870" s="3"/>
      <c r="B870" s="3"/>
      <c r="C870" s="3"/>
      <c r="D870" s="3"/>
      <c r="E870" s="3"/>
      <c r="F870" s="3"/>
      <c r="G870" s="3"/>
      <c r="H870" s="3"/>
      <c r="I870" s="3"/>
      <c r="J870" s="3"/>
      <c r="K870" s="3"/>
    </row>
    <row r="871" spans="1:11" hidden="1" x14ac:dyDescent="0.2">
      <c r="A871" s="3"/>
      <c r="B871" s="3"/>
      <c r="C871" s="3"/>
      <c r="D871" s="3"/>
      <c r="E871" s="3"/>
      <c r="F871" s="3"/>
      <c r="G871" s="3"/>
      <c r="H871" s="3"/>
      <c r="I871" s="3"/>
      <c r="J871" s="3"/>
      <c r="K871" s="3"/>
    </row>
    <row r="872" spans="1:11" hidden="1" x14ac:dyDescent="0.2">
      <c r="A872" s="3"/>
      <c r="B872" s="3"/>
      <c r="C872" s="3"/>
      <c r="D872" s="3"/>
      <c r="E872" s="3"/>
      <c r="F872" s="3"/>
      <c r="G872" s="3"/>
      <c r="H872" s="3"/>
      <c r="I872" s="3"/>
      <c r="J872" s="3"/>
      <c r="K872" s="3"/>
    </row>
    <row r="873" spans="1:11" hidden="1" x14ac:dyDescent="0.2">
      <c r="A873" s="3"/>
      <c r="B873" s="3"/>
      <c r="C873" s="3"/>
      <c r="D873" s="3"/>
      <c r="E873" s="3"/>
      <c r="F873" s="3"/>
      <c r="G873" s="3"/>
      <c r="H873" s="3"/>
      <c r="I873" s="3"/>
      <c r="J873" s="3"/>
      <c r="K873" s="3"/>
    </row>
    <row r="874" spans="1:11" hidden="1" x14ac:dyDescent="0.2">
      <c r="A874" s="3"/>
      <c r="B874" s="3"/>
      <c r="C874" s="3"/>
      <c r="D874" s="3"/>
      <c r="E874" s="3"/>
      <c r="F874" s="3"/>
      <c r="G874" s="3"/>
      <c r="H874" s="3"/>
      <c r="I874" s="3"/>
      <c r="J874" s="3"/>
      <c r="K874" s="3"/>
    </row>
    <row r="875" spans="1:11" hidden="1" x14ac:dyDescent="0.2">
      <c r="A875" s="3"/>
      <c r="B875" s="3"/>
      <c r="C875" s="3"/>
      <c r="D875" s="3"/>
      <c r="E875" s="3"/>
      <c r="F875" s="3"/>
      <c r="G875" s="3"/>
      <c r="H875" s="3"/>
      <c r="I875" s="3"/>
      <c r="J875" s="3"/>
      <c r="K875" s="3"/>
    </row>
    <row r="876" spans="1:11" hidden="1" x14ac:dyDescent="0.2">
      <c r="A876" s="3"/>
      <c r="B876" s="3"/>
      <c r="C876" s="3"/>
      <c r="D876" s="3"/>
      <c r="E876" s="3"/>
      <c r="F876" s="3"/>
      <c r="G876" s="3"/>
      <c r="H876" s="3"/>
      <c r="I876" s="3"/>
      <c r="J876" s="3"/>
      <c r="K876" s="3"/>
    </row>
    <row r="877" spans="1:11" hidden="1" x14ac:dyDescent="0.2">
      <c r="A877" s="3"/>
      <c r="B877" s="3"/>
      <c r="C877" s="3"/>
      <c r="D877" s="3"/>
      <c r="E877" s="3"/>
      <c r="F877" s="3"/>
      <c r="G877" s="3"/>
      <c r="H877" s="3"/>
      <c r="I877" s="3"/>
      <c r="J877" s="3"/>
      <c r="K877" s="3"/>
    </row>
    <row r="878" spans="1:11" hidden="1" x14ac:dyDescent="0.2">
      <c r="A878" s="3"/>
      <c r="B878" s="3"/>
      <c r="C878" s="3"/>
      <c r="D878" s="3"/>
      <c r="E878" s="3"/>
      <c r="F878" s="3"/>
      <c r="G878" s="3"/>
      <c r="H878" s="3"/>
      <c r="I878" s="3"/>
      <c r="J878" s="3"/>
      <c r="K878" s="3"/>
    </row>
    <row r="879" spans="1:11" hidden="1" x14ac:dyDescent="0.2">
      <c r="A879" s="3"/>
      <c r="B879" s="3"/>
      <c r="C879" s="3"/>
      <c r="D879" s="3"/>
      <c r="E879" s="3"/>
      <c r="F879" s="3"/>
      <c r="G879" s="3"/>
      <c r="H879" s="3"/>
      <c r="I879" s="3"/>
      <c r="J879" s="3"/>
      <c r="K879" s="3"/>
    </row>
    <row r="880" spans="1:11" hidden="1" x14ac:dyDescent="0.2">
      <c r="A880" s="3"/>
      <c r="B880" s="3"/>
      <c r="C880" s="3"/>
      <c r="D880" s="3"/>
      <c r="E880" s="3"/>
      <c r="F880" s="3"/>
      <c r="G880" s="3"/>
      <c r="H880" s="3"/>
      <c r="I880" s="3"/>
      <c r="J880" s="3"/>
      <c r="K880" s="3"/>
    </row>
    <row r="881" spans="1:11" hidden="1" x14ac:dyDescent="0.2">
      <c r="A881" s="3"/>
      <c r="B881" s="3"/>
      <c r="C881" s="3"/>
      <c r="D881" s="3"/>
      <c r="E881" s="3"/>
      <c r="F881" s="3"/>
      <c r="G881" s="3"/>
      <c r="H881" s="3"/>
      <c r="I881" s="3"/>
      <c r="J881" s="3"/>
      <c r="K881" s="3"/>
    </row>
    <row r="882" spans="1:11" hidden="1" x14ac:dyDescent="0.2">
      <c r="A882" s="3"/>
      <c r="B882" s="3"/>
      <c r="C882" s="3"/>
      <c r="D882" s="3"/>
      <c r="E882" s="3"/>
      <c r="F882" s="3"/>
      <c r="G882" s="3"/>
      <c r="H882" s="3"/>
      <c r="I882" s="3"/>
      <c r="J882" s="3"/>
      <c r="K882" s="3"/>
    </row>
    <row r="883" spans="1:11" hidden="1" x14ac:dyDescent="0.2">
      <c r="A883" s="3"/>
      <c r="B883" s="3"/>
      <c r="C883" s="3"/>
      <c r="D883" s="3"/>
      <c r="E883" s="3"/>
      <c r="F883" s="3"/>
      <c r="G883" s="3"/>
      <c r="H883" s="3"/>
      <c r="I883" s="3"/>
      <c r="J883" s="3"/>
      <c r="K883" s="3"/>
    </row>
    <row r="884" spans="1:11" hidden="1" x14ac:dyDescent="0.2">
      <c r="A884" s="3"/>
      <c r="B884" s="3"/>
      <c r="C884" s="3"/>
      <c r="D884" s="3"/>
      <c r="E884" s="3"/>
      <c r="F884" s="3"/>
      <c r="G884" s="3"/>
      <c r="H884" s="3"/>
      <c r="I884" s="3"/>
      <c r="J884" s="3"/>
      <c r="K884" s="3"/>
    </row>
    <row r="885" spans="1:11" hidden="1" x14ac:dyDescent="0.2">
      <c r="A885" s="3"/>
      <c r="B885" s="3"/>
      <c r="C885" s="3"/>
      <c r="D885" s="3"/>
      <c r="E885" s="3"/>
      <c r="F885" s="3"/>
      <c r="G885" s="3"/>
      <c r="H885" s="3"/>
      <c r="I885" s="3"/>
      <c r="J885" s="3"/>
      <c r="K885" s="3"/>
    </row>
    <row r="886" spans="1:11" hidden="1" x14ac:dyDescent="0.2">
      <c r="A886" s="3"/>
      <c r="B886" s="3"/>
      <c r="C886" s="3"/>
      <c r="D886" s="3"/>
      <c r="E886" s="3"/>
      <c r="F886" s="3"/>
      <c r="G886" s="3"/>
      <c r="H886" s="3"/>
      <c r="I886" s="3"/>
      <c r="J886" s="3"/>
      <c r="K886" s="3"/>
    </row>
    <row r="887" spans="1:11" hidden="1" x14ac:dyDescent="0.2">
      <c r="A887" s="3"/>
      <c r="B887" s="3"/>
      <c r="C887" s="3"/>
      <c r="D887" s="3"/>
      <c r="E887" s="3"/>
      <c r="F887" s="3"/>
      <c r="G887" s="3"/>
      <c r="H887" s="3"/>
      <c r="I887" s="3"/>
      <c r="J887" s="3"/>
      <c r="K887" s="3"/>
    </row>
    <row r="888" spans="1:11" hidden="1" x14ac:dyDescent="0.2">
      <c r="A888" s="3"/>
      <c r="B888" s="3"/>
      <c r="C888" s="3"/>
      <c r="D888" s="3"/>
      <c r="E888" s="3"/>
      <c r="F888" s="3"/>
      <c r="G888" s="3"/>
      <c r="H888" s="3"/>
      <c r="I888" s="3"/>
      <c r="J888" s="3"/>
      <c r="K888" s="3"/>
    </row>
    <row r="889" spans="1:11" hidden="1" x14ac:dyDescent="0.2">
      <c r="A889" s="3"/>
      <c r="B889" s="3"/>
      <c r="C889" s="3"/>
      <c r="D889" s="3"/>
      <c r="E889" s="3"/>
      <c r="F889" s="3"/>
      <c r="G889" s="3"/>
      <c r="H889" s="3"/>
      <c r="I889" s="3"/>
      <c r="J889" s="3"/>
      <c r="K889" s="3"/>
    </row>
    <row r="890" spans="1:11" hidden="1" x14ac:dyDescent="0.2">
      <c r="A890" s="3"/>
      <c r="B890" s="3"/>
      <c r="C890" s="3"/>
      <c r="D890" s="3"/>
      <c r="E890" s="3"/>
      <c r="F890" s="3"/>
      <c r="G890" s="3"/>
      <c r="H890" s="3"/>
      <c r="I890" s="3"/>
      <c r="J890" s="3"/>
      <c r="K890" s="3"/>
    </row>
    <row r="891" spans="1:11" hidden="1" x14ac:dyDescent="0.2">
      <c r="A891" s="3"/>
      <c r="B891" s="3"/>
      <c r="C891" s="3"/>
      <c r="D891" s="3"/>
      <c r="E891" s="3"/>
      <c r="F891" s="3"/>
      <c r="G891" s="3"/>
      <c r="H891" s="3"/>
      <c r="I891" s="3"/>
      <c r="J891" s="3"/>
      <c r="K891" s="3"/>
    </row>
    <row r="892" spans="1:11" hidden="1" x14ac:dyDescent="0.2">
      <c r="A892" s="3"/>
      <c r="B892" s="3"/>
      <c r="C892" s="3"/>
      <c r="D892" s="3"/>
      <c r="E892" s="3"/>
      <c r="F892" s="3"/>
      <c r="G892" s="3"/>
      <c r="H892" s="3"/>
      <c r="I892" s="3"/>
      <c r="J892" s="3"/>
      <c r="K892" s="3"/>
    </row>
    <row r="893" spans="1:11" hidden="1" x14ac:dyDescent="0.2">
      <c r="A893" s="3"/>
      <c r="B893" s="3"/>
      <c r="C893" s="3"/>
      <c r="D893" s="3"/>
      <c r="E893" s="3"/>
      <c r="F893" s="3"/>
      <c r="G893" s="3"/>
      <c r="H893" s="3"/>
      <c r="I893" s="3"/>
      <c r="J893" s="3"/>
      <c r="K893" s="3"/>
    </row>
    <row r="894" spans="1:11" hidden="1" x14ac:dyDescent="0.2">
      <c r="A894" s="3"/>
      <c r="B894" s="3"/>
      <c r="C894" s="3"/>
      <c r="D894" s="3"/>
      <c r="E894" s="3"/>
      <c r="F894" s="3"/>
      <c r="G894" s="3"/>
      <c r="H894" s="3"/>
      <c r="I894" s="3"/>
      <c r="J894" s="3"/>
      <c r="K894" s="3"/>
    </row>
    <row r="895" spans="1:11" hidden="1" x14ac:dyDescent="0.2">
      <c r="A895" s="3"/>
      <c r="B895" s="3"/>
      <c r="C895" s="3"/>
      <c r="D895" s="3"/>
      <c r="E895" s="3"/>
      <c r="F895" s="3"/>
      <c r="G895" s="3"/>
      <c r="H895" s="3"/>
      <c r="I895" s="3"/>
      <c r="J895" s="3"/>
      <c r="K895" s="3"/>
    </row>
    <row r="896" spans="1:11" hidden="1" x14ac:dyDescent="0.2">
      <c r="A896" s="3"/>
      <c r="B896" s="3"/>
      <c r="C896" s="3"/>
      <c r="D896" s="3"/>
      <c r="E896" s="3"/>
      <c r="F896" s="3"/>
      <c r="G896" s="3"/>
      <c r="H896" s="3"/>
      <c r="I896" s="3"/>
      <c r="J896" s="3"/>
      <c r="K896" s="3"/>
    </row>
    <row r="897" spans="1:11" hidden="1" x14ac:dyDescent="0.2">
      <c r="A897" s="3"/>
      <c r="B897" s="3"/>
      <c r="C897" s="3"/>
      <c r="D897" s="3"/>
      <c r="E897" s="3"/>
      <c r="F897" s="3"/>
      <c r="G897" s="3"/>
      <c r="H897" s="3"/>
      <c r="I897" s="3"/>
      <c r="J897" s="3"/>
      <c r="K897" s="3"/>
    </row>
    <row r="898" spans="1:11" hidden="1" x14ac:dyDescent="0.2">
      <c r="A898" s="3"/>
      <c r="B898" s="3"/>
      <c r="C898" s="3"/>
      <c r="D898" s="3"/>
      <c r="E898" s="3"/>
      <c r="F898" s="3"/>
      <c r="G898" s="3"/>
      <c r="H898" s="3"/>
      <c r="I898" s="3"/>
      <c r="J898" s="3"/>
      <c r="K898" s="3"/>
    </row>
    <row r="899" spans="1:11" hidden="1" x14ac:dyDescent="0.2">
      <c r="A899" s="3"/>
      <c r="B899" s="3"/>
      <c r="C899" s="3"/>
      <c r="D899" s="3"/>
      <c r="E899" s="3"/>
      <c r="F899" s="3"/>
      <c r="G899" s="3"/>
      <c r="H899" s="3"/>
      <c r="I899" s="3"/>
      <c r="J899" s="3"/>
      <c r="K899" s="3"/>
    </row>
    <row r="900" spans="1:11" hidden="1" x14ac:dyDescent="0.2">
      <c r="A900" s="3"/>
      <c r="B900" s="3"/>
      <c r="C900" s="3"/>
      <c r="D900" s="3"/>
      <c r="E900" s="3"/>
      <c r="F900" s="3"/>
      <c r="G900" s="3"/>
      <c r="H900" s="3"/>
      <c r="I900" s="3"/>
      <c r="J900" s="3"/>
      <c r="K900" s="3"/>
    </row>
    <row r="901" spans="1:11" hidden="1" x14ac:dyDescent="0.2">
      <c r="A901" s="3"/>
      <c r="B901" s="3"/>
      <c r="C901" s="3"/>
      <c r="D901" s="3"/>
      <c r="E901" s="3"/>
      <c r="F901" s="3"/>
      <c r="G901" s="3"/>
      <c r="H901" s="3"/>
      <c r="I901" s="3"/>
      <c r="J901" s="3"/>
      <c r="K901" s="3"/>
    </row>
    <row r="902" spans="1:11" hidden="1" x14ac:dyDescent="0.2">
      <c r="A902" s="3"/>
      <c r="B902" s="3"/>
      <c r="C902" s="3"/>
      <c r="D902" s="3"/>
      <c r="E902" s="3"/>
      <c r="F902" s="3"/>
      <c r="G902" s="3"/>
      <c r="H902" s="3"/>
      <c r="I902" s="3"/>
      <c r="J902" s="3"/>
      <c r="K902" s="3"/>
    </row>
    <row r="903" spans="1:11" hidden="1" x14ac:dyDescent="0.2">
      <c r="A903" s="3"/>
      <c r="B903" s="3"/>
      <c r="C903" s="3"/>
      <c r="D903" s="3"/>
      <c r="E903" s="3"/>
      <c r="F903" s="3"/>
      <c r="G903" s="3"/>
      <c r="H903" s="3"/>
      <c r="I903" s="3"/>
      <c r="J903" s="3"/>
      <c r="K903" s="3"/>
    </row>
    <row r="904" spans="1:11" hidden="1" x14ac:dyDescent="0.2">
      <c r="A904" s="3"/>
      <c r="B904" s="3"/>
      <c r="C904" s="3"/>
      <c r="D904" s="3"/>
      <c r="E904" s="3"/>
      <c r="F904" s="3"/>
      <c r="G904" s="3"/>
      <c r="H904" s="3"/>
      <c r="I904" s="3"/>
      <c r="J904" s="3"/>
      <c r="K904" s="3"/>
    </row>
    <row r="905" spans="1:11" hidden="1" x14ac:dyDescent="0.2">
      <c r="A905" s="3"/>
      <c r="B905" s="3"/>
      <c r="C905" s="3"/>
      <c r="D905" s="3"/>
      <c r="E905" s="3"/>
      <c r="F905" s="3"/>
      <c r="G905" s="3"/>
      <c r="H905" s="3"/>
      <c r="I905" s="3"/>
      <c r="J905" s="3"/>
      <c r="K905" s="3"/>
    </row>
    <row r="906" spans="1:11" hidden="1" x14ac:dyDescent="0.2">
      <c r="A906" s="3"/>
      <c r="B906" s="3"/>
      <c r="C906" s="3"/>
      <c r="D906" s="3"/>
      <c r="E906" s="3"/>
      <c r="F906" s="3"/>
      <c r="G906" s="3"/>
      <c r="H906" s="3"/>
      <c r="I906" s="3"/>
      <c r="J906" s="3"/>
      <c r="K906" s="3"/>
    </row>
    <row r="907" spans="1:11" hidden="1" x14ac:dyDescent="0.2">
      <c r="A907" s="3"/>
      <c r="B907" s="3"/>
      <c r="C907" s="3"/>
      <c r="D907" s="3"/>
      <c r="E907" s="3"/>
      <c r="F907" s="3"/>
      <c r="G907" s="3"/>
      <c r="H907" s="3"/>
      <c r="I907" s="3"/>
      <c r="J907" s="3"/>
      <c r="K907" s="3"/>
    </row>
    <row r="908" spans="1:11" hidden="1" x14ac:dyDescent="0.2">
      <c r="A908" s="3"/>
      <c r="B908" s="3"/>
      <c r="C908" s="3"/>
      <c r="D908" s="3"/>
      <c r="E908" s="3"/>
      <c r="F908" s="3"/>
      <c r="G908" s="3"/>
      <c r="H908" s="3"/>
      <c r="I908" s="3"/>
      <c r="J908" s="3"/>
      <c r="K908" s="3"/>
    </row>
    <row r="909" spans="1:11" hidden="1" x14ac:dyDescent="0.2">
      <c r="A909" s="3"/>
      <c r="B909" s="3"/>
      <c r="C909" s="3"/>
      <c r="D909" s="3"/>
      <c r="E909" s="3"/>
      <c r="F909" s="3"/>
      <c r="G909" s="3"/>
      <c r="H909" s="3"/>
      <c r="I909" s="3"/>
      <c r="J909" s="3"/>
      <c r="K909" s="3"/>
    </row>
    <row r="910" spans="1:11" hidden="1" x14ac:dyDescent="0.2">
      <c r="A910" s="3"/>
      <c r="B910" s="3"/>
      <c r="C910" s="3"/>
      <c r="D910" s="3"/>
      <c r="E910" s="3"/>
      <c r="F910" s="3"/>
      <c r="G910" s="3"/>
      <c r="H910" s="3"/>
      <c r="I910" s="3"/>
      <c r="J910" s="3"/>
      <c r="K910" s="3"/>
    </row>
    <row r="911" spans="1:11" hidden="1" x14ac:dyDescent="0.2">
      <c r="A911" s="3"/>
      <c r="B911" s="3"/>
      <c r="C911" s="3"/>
      <c r="D911" s="3"/>
      <c r="E911" s="3"/>
      <c r="F911" s="3"/>
      <c r="G911" s="3"/>
      <c r="H911" s="3"/>
      <c r="I911" s="3"/>
      <c r="J911" s="3"/>
      <c r="K911" s="3"/>
    </row>
    <row r="912" spans="1:11" hidden="1" x14ac:dyDescent="0.2">
      <c r="A912" s="3"/>
      <c r="B912" s="3"/>
      <c r="C912" s="3"/>
      <c r="D912" s="3"/>
      <c r="E912" s="3"/>
      <c r="F912" s="3"/>
      <c r="G912" s="3"/>
      <c r="H912" s="3"/>
      <c r="I912" s="3"/>
      <c r="J912" s="3"/>
      <c r="K912" s="3"/>
    </row>
    <row r="913" spans="1:11" hidden="1" x14ac:dyDescent="0.2">
      <c r="A913" s="3"/>
      <c r="B913" s="3"/>
      <c r="C913" s="3"/>
      <c r="D913" s="3"/>
      <c r="E913" s="3"/>
      <c r="F913" s="3"/>
      <c r="G913" s="3"/>
      <c r="H913" s="3"/>
      <c r="I913" s="3"/>
      <c r="J913" s="3"/>
      <c r="K913" s="3"/>
    </row>
    <row r="914" spans="1:11" hidden="1" x14ac:dyDescent="0.2">
      <c r="A914" s="3"/>
      <c r="B914" s="3"/>
      <c r="C914" s="3"/>
      <c r="D914" s="3"/>
      <c r="E914" s="3"/>
      <c r="F914" s="3"/>
      <c r="G914" s="3"/>
      <c r="H914" s="3"/>
      <c r="I914" s="3"/>
      <c r="J914" s="3"/>
      <c r="K914" s="3"/>
    </row>
    <row r="915" spans="1:11" hidden="1" x14ac:dyDescent="0.2">
      <c r="A915" s="3"/>
      <c r="B915" s="3"/>
      <c r="C915" s="3"/>
      <c r="D915" s="3"/>
      <c r="E915" s="3"/>
      <c r="F915" s="3"/>
      <c r="G915" s="3"/>
      <c r="H915" s="3"/>
      <c r="I915" s="3"/>
      <c r="J915" s="3"/>
      <c r="K915" s="3"/>
    </row>
    <row r="916" spans="1:11" hidden="1" x14ac:dyDescent="0.2">
      <c r="A916" s="3"/>
      <c r="B916" s="3"/>
      <c r="C916" s="3"/>
      <c r="D916" s="3"/>
      <c r="E916" s="3"/>
      <c r="F916" s="3"/>
      <c r="G916" s="3"/>
      <c r="H916" s="3"/>
      <c r="I916" s="3"/>
      <c r="J916" s="3"/>
      <c r="K916" s="3"/>
    </row>
    <row r="917" spans="1:11" hidden="1" x14ac:dyDescent="0.2">
      <c r="A917" s="3"/>
      <c r="B917" s="3"/>
      <c r="C917" s="3"/>
      <c r="D917" s="3"/>
      <c r="E917" s="3"/>
      <c r="F917" s="3"/>
      <c r="G917" s="3"/>
      <c r="H917" s="3"/>
      <c r="I917" s="3"/>
      <c r="J917" s="3"/>
      <c r="K917" s="3"/>
    </row>
    <row r="918" spans="1:11" hidden="1" x14ac:dyDescent="0.2">
      <c r="A918" s="3"/>
      <c r="B918" s="3"/>
      <c r="C918" s="3"/>
      <c r="D918" s="3"/>
      <c r="E918" s="3"/>
      <c r="F918" s="3"/>
      <c r="G918" s="3"/>
      <c r="H918" s="3"/>
      <c r="I918" s="3"/>
      <c r="J918" s="3"/>
      <c r="K918" s="3"/>
    </row>
    <row r="919" spans="1:11" hidden="1" x14ac:dyDescent="0.2">
      <c r="A919" s="3"/>
      <c r="B919" s="3"/>
      <c r="C919" s="3"/>
      <c r="D919" s="3"/>
      <c r="E919" s="3"/>
      <c r="F919" s="3"/>
      <c r="G919" s="3"/>
      <c r="H919" s="3"/>
      <c r="I919" s="3"/>
      <c r="J919" s="3"/>
      <c r="K919" s="3"/>
    </row>
    <row r="920" spans="1:11" hidden="1" x14ac:dyDescent="0.2">
      <c r="A920" s="3"/>
      <c r="B920" s="3"/>
      <c r="C920" s="3"/>
      <c r="D920" s="3"/>
      <c r="E920" s="3"/>
      <c r="F920" s="3"/>
      <c r="G920" s="3"/>
      <c r="H920" s="3"/>
      <c r="I920" s="3"/>
      <c r="J920" s="3"/>
      <c r="K920" s="3"/>
    </row>
    <row r="921" spans="1:11" hidden="1" x14ac:dyDescent="0.2">
      <c r="A921" s="3"/>
      <c r="B921" s="3"/>
      <c r="C921" s="3"/>
      <c r="D921" s="3"/>
      <c r="E921" s="3"/>
      <c r="F921" s="3"/>
      <c r="G921" s="3"/>
      <c r="H921" s="3"/>
      <c r="I921" s="3"/>
      <c r="J921" s="3"/>
      <c r="K921" s="3"/>
    </row>
    <row r="922" spans="1:11" hidden="1" x14ac:dyDescent="0.2">
      <c r="A922" s="3"/>
      <c r="B922" s="3"/>
      <c r="C922" s="3"/>
      <c r="D922" s="3"/>
      <c r="E922" s="3"/>
      <c r="F922" s="3"/>
      <c r="G922" s="3"/>
      <c r="H922" s="3"/>
      <c r="I922" s="3"/>
      <c r="J922" s="3"/>
      <c r="K922" s="3"/>
    </row>
    <row r="923" spans="1:11" hidden="1" x14ac:dyDescent="0.2">
      <c r="A923" s="3"/>
      <c r="B923" s="3"/>
      <c r="C923" s="3"/>
      <c r="D923" s="3"/>
      <c r="E923" s="3"/>
      <c r="F923" s="3"/>
      <c r="G923" s="3"/>
      <c r="H923" s="3"/>
      <c r="I923" s="3"/>
      <c r="J923" s="3"/>
      <c r="K923" s="3"/>
    </row>
    <row r="924" spans="1:11" hidden="1" x14ac:dyDescent="0.2">
      <c r="A924" s="3"/>
      <c r="B924" s="3"/>
      <c r="C924" s="3"/>
      <c r="D924" s="3"/>
      <c r="E924" s="3"/>
      <c r="F924" s="3"/>
      <c r="G924" s="3"/>
      <c r="H924" s="3"/>
      <c r="I924" s="3"/>
      <c r="J924" s="3"/>
      <c r="K924" s="3"/>
    </row>
    <row r="925" spans="1:11" hidden="1" x14ac:dyDescent="0.2">
      <c r="A925" s="3"/>
      <c r="B925" s="3"/>
      <c r="C925" s="3"/>
      <c r="D925" s="3"/>
      <c r="E925" s="3"/>
      <c r="F925" s="3"/>
      <c r="G925" s="3"/>
      <c r="H925" s="3"/>
      <c r="I925" s="3"/>
      <c r="J925" s="3"/>
      <c r="K925" s="3"/>
    </row>
    <row r="926" spans="1:11" hidden="1" x14ac:dyDescent="0.2">
      <c r="A926" s="3"/>
      <c r="B926" s="3"/>
      <c r="C926" s="3"/>
      <c r="D926" s="3"/>
      <c r="E926" s="3"/>
      <c r="F926" s="3"/>
      <c r="G926" s="3"/>
      <c r="H926" s="3"/>
      <c r="I926" s="3"/>
      <c r="J926" s="3"/>
      <c r="K926" s="3"/>
    </row>
    <row r="927" spans="1:11" hidden="1" x14ac:dyDescent="0.2">
      <c r="A927" s="3"/>
      <c r="B927" s="3"/>
      <c r="C927" s="3"/>
      <c r="D927" s="3"/>
      <c r="E927" s="3"/>
      <c r="F927" s="3"/>
      <c r="G927" s="3"/>
      <c r="H927" s="3"/>
      <c r="I927" s="3"/>
      <c r="J927" s="3"/>
      <c r="K927" s="3"/>
    </row>
    <row r="928" spans="1:11" hidden="1" x14ac:dyDescent="0.2">
      <c r="A928" s="3"/>
      <c r="B928" s="3"/>
      <c r="C928" s="3"/>
      <c r="D928" s="3"/>
      <c r="E928" s="3"/>
      <c r="F928" s="3"/>
      <c r="G928" s="3"/>
      <c r="H928" s="3"/>
      <c r="I928" s="3"/>
      <c r="J928" s="3"/>
      <c r="K928" s="3"/>
    </row>
    <row r="929" spans="1:11" hidden="1" x14ac:dyDescent="0.2">
      <c r="A929" s="3"/>
      <c r="B929" s="3"/>
      <c r="C929" s="3"/>
      <c r="D929" s="3"/>
      <c r="E929" s="3"/>
      <c r="F929" s="3"/>
      <c r="G929" s="3"/>
      <c r="H929" s="3"/>
      <c r="I929" s="3"/>
      <c r="J929" s="3"/>
      <c r="K929" s="3"/>
    </row>
    <row r="930" spans="1:11" hidden="1" x14ac:dyDescent="0.2">
      <c r="A930" s="3"/>
      <c r="B930" s="3"/>
      <c r="C930" s="3"/>
      <c r="D930" s="3"/>
      <c r="E930" s="3"/>
      <c r="F930" s="3"/>
      <c r="G930" s="3"/>
      <c r="H930" s="3"/>
      <c r="I930" s="3"/>
      <c r="J930" s="3"/>
      <c r="K930" s="3"/>
    </row>
    <row r="931" spans="1:11" hidden="1" x14ac:dyDescent="0.2">
      <c r="A931" s="3"/>
      <c r="B931" s="3"/>
      <c r="C931" s="3"/>
      <c r="D931" s="3"/>
      <c r="E931" s="3"/>
      <c r="F931" s="3"/>
      <c r="G931" s="3"/>
      <c r="H931" s="3"/>
      <c r="I931" s="3"/>
      <c r="J931" s="3"/>
      <c r="K931" s="3"/>
    </row>
    <row r="932" spans="1:11" hidden="1" x14ac:dyDescent="0.2">
      <c r="A932" s="3"/>
      <c r="B932" s="3"/>
      <c r="C932" s="3"/>
      <c r="D932" s="3"/>
      <c r="E932" s="3"/>
      <c r="F932" s="3"/>
      <c r="G932" s="3"/>
      <c r="H932" s="3"/>
      <c r="I932" s="3"/>
      <c r="J932" s="3"/>
      <c r="K932" s="3"/>
    </row>
    <row r="933" spans="1:11" hidden="1" x14ac:dyDescent="0.2">
      <c r="A933" s="3"/>
      <c r="B933" s="3"/>
      <c r="C933" s="3"/>
      <c r="D933" s="3"/>
      <c r="E933" s="3"/>
      <c r="F933" s="3"/>
      <c r="G933" s="3"/>
      <c r="H933" s="3"/>
      <c r="I933" s="3"/>
      <c r="J933" s="3"/>
      <c r="K933" s="3"/>
    </row>
    <row r="934" spans="1:11" hidden="1" x14ac:dyDescent="0.2">
      <c r="A934" s="3"/>
      <c r="B934" s="3"/>
      <c r="C934" s="3"/>
      <c r="D934" s="3"/>
      <c r="E934" s="3"/>
      <c r="F934" s="3"/>
      <c r="G934" s="3"/>
      <c r="H934" s="3"/>
      <c r="I934" s="3"/>
      <c r="J934" s="3"/>
      <c r="K934" s="3"/>
    </row>
    <row r="935" spans="1:11" hidden="1" x14ac:dyDescent="0.2">
      <c r="A935" s="3"/>
      <c r="B935" s="3"/>
      <c r="C935" s="3"/>
      <c r="D935" s="3"/>
      <c r="E935" s="3"/>
      <c r="F935" s="3"/>
      <c r="G935" s="3"/>
      <c r="H935" s="3"/>
      <c r="I935" s="3"/>
      <c r="J935" s="3"/>
      <c r="K935" s="3"/>
    </row>
    <row r="936" spans="1:11" hidden="1" x14ac:dyDescent="0.2">
      <c r="A936" s="3"/>
      <c r="B936" s="3"/>
      <c r="C936" s="3"/>
      <c r="D936" s="3"/>
      <c r="E936" s="3"/>
      <c r="F936" s="3"/>
      <c r="G936" s="3"/>
      <c r="H936" s="3"/>
      <c r="I936" s="3"/>
      <c r="J936" s="3"/>
      <c r="K936" s="3"/>
    </row>
    <row r="937" spans="1:11" hidden="1" x14ac:dyDescent="0.2">
      <c r="A937" s="3"/>
      <c r="B937" s="3"/>
      <c r="C937" s="3"/>
      <c r="D937" s="3"/>
      <c r="E937" s="3"/>
      <c r="F937" s="3"/>
      <c r="G937" s="3"/>
      <c r="H937" s="3"/>
      <c r="I937" s="3"/>
      <c r="J937" s="3"/>
      <c r="K937" s="3"/>
    </row>
    <row r="938" spans="1:11" hidden="1" x14ac:dyDescent="0.2">
      <c r="A938" s="3"/>
      <c r="B938" s="3"/>
      <c r="C938" s="3"/>
      <c r="D938" s="3"/>
      <c r="E938" s="3"/>
      <c r="F938" s="3"/>
      <c r="G938" s="3"/>
      <c r="H938" s="3"/>
      <c r="I938" s="3"/>
      <c r="J938" s="3"/>
      <c r="K938" s="3"/>
    </row>
    <row r="939" spans="1:11" hidden="1" x14ac:dyDescent="0.2">
      <c r="A939" s="3"/>
      <c r="B939" s="3"/>
      <c r="C939" s="3"/>
      <c r="D939" s="3"/>
      <c r="E939" s="3"/>
      <c r="F939" s="3"/>
      <c r="G939" s="3"/>
      <c r="H939" s="3"/>
      <c r="I939" s="3"/>
      <c r="J939" s="3"/>
      <c r="K939" s="3"/>
    </row>
    <row r="940" spans="1:11" hidden="1" x14ac:dyDescent="0.2">
      <c r="A940" s="3"/>
      <c r="B940" s="3"/>
      <c r="C940" s="3"/>
      <c r="D940" s="3"/>
      <c r="E940" s="3"/>
      <c r="F940" s="3"/>
      <c r="G940" s="3"/>
      <c r="H940" s="3"/>
      <c r="I940" s="3"/>
      <c r="J940" s="3"/>
      <c r="K940" s="3"/>
    </row>
    <row r="941" spans="1:11" hidden="1" x14ac:dyDescent="0.2">
      <c r="A941" s="3"/>
      <c r="B941" s="3"/>
      <c r="C941" s="3"/>
      <c r="D941" s="3"/>
      <c r="E941" s="3"/>
      <c r="F941" s="3"/>
      <c r="G941" s="3"/>
      <c r="H941" s="3"/>
      <c r="I941" s="3"/>
      <c r="J941" s="3"/>
      <c r="K941" s="3"/>
    </row>
    <row r="942" spans="1:11" hidden="1" x14ac:dyDescent="0.2">
      <c r="A942" s="3"/>
      <c r="B942" s="3"/>
      <c r="C942" s="3"/>
      <c r="D942" s="3"/>
      <c r="E942" s="3"/>
      <c r="F942" s="3"/>
      <c r="G942" s="3"/>
      <c r="H942" s="3"/>
      <c r="I942" s="3"/>
      <c r="J942" s="3"/>
      <c r="K942" s="3"/>
    </row>
    <row r="943" spans="1:11" hidden="1" x14ac:dyDescent="0.2">
      <c r="A943" s="3"/>
      <c r="B943" s="3"/>
      <c r="C943" s="3"/>
      <c r="D943" s="3"/>
      <c r="E943" s="3"/>
      <c r="F943" s="3"/>
      <c r="G943" s="3"/>
      <c r="H943" s="3"/>
      <c r="I943" s="3"/>
      <c r="J943" s="3"/>
      <c r="K943" s="3"/>
    </row>
    <row r="944" spans="1:11" hidden="1" x14ac:dyDescent="0.2">
      <c r="A944" s="3"/>
      <c r="B944" s="3"/>
      <c r="C944" s="3"/>
      <c r="D944" s="3"/>
      <c r="E944" s="3"/>
      <c r="F944" s="3"/>
      <c r="G944" s="3"/>
      <c r="H944" s="3"/>
      <c r="I944" s="3"/>
      <c r="J944" s="3"/>
      <c r="K944" s="3"/>
    </row>
    <row r="945" spans="1:11" hidden="1" x14ac:dyDescent="0.2">
      <c r="A945" s="3"/>
      <c r="B945" s="3"/>
      <c r="C945" s="3"/>
      <c r="D945" s="3"/>
      <c r="E945" s="3"/>
      <c r="F945" s="3"/>
      <c r="G945" s="3"/>
      <c r="H945" s="3"/>
      <c r="I945" s="3"/>
      <c r="J945" s="3"/>
      <c r="K945" s="3"/>
    </row>
    <row r="946" spans="1:11" hidden="1" x14ac:dyDescent="0.2">
      <c r="A946" s="3"/>
      <c r="B946" s="3"/>
      <c r="C946" s="3"/>
      <c r="D946" s="3"/>
      <c r="E946" s="3"/>
      <c r="F946" s="3"/>
      <c r="G946" s="3"/>
      <c r="H946" s="3"/>
      <c r="I946" s="3"/>
      <c r="J946" s="3"/>
      <c r="K946" s="3"/>
    </row>
    <row r="947" spans="1:11" hidden="1" x14ac:dyDescent="0.2">
      <c r="A947" s="3"/>
      <c r="B947" s="3"/>
      <c r="C947" s="3"/>
      <c r="D947" s="3"/>
      <c r="E947" s="3"/>
      <c r="F947" s="3"/>
      <c r="G947" s="3"/>
      <c r="H947" s="3"/>
      <c r="I947" s="3"/>
      <c r="J947" s="3"/>
      <c r="K947" s="3"/>
    </row>
    <row r="948" spans="1:11" hidden="1" x14ac:dyDescent="0.2">
      <c r="A948" s="3"/>
      <c r="B948" s="3"/>
      <c r="C948" s="3"/>
      <c r="D948" s="3"/>
      <c r="E948" s="3"/>
      <c r="F948" s="3"/>
      <c r="G948" s="3"/>
      <c r="H948" s="3"/>
      <c r="I948" s="3"/>
      <c r="J948" s="3"/>
      <c r="K948" s="3"/>
    </row>
    <row r="949" spans="1:11" hidden="1" x14ac:dyDescent="0.2">
      <c r="A949" s="3"/>
      <c r="B949" s="3"/>
      <c r="C949" s="3"/>
      <c r="D949" s="3"/>
      <c r="E949" s="3"/>
      <c r="F949" s="3"/>
      <c r="G949" s="3"/>
      <c r="H949" s="3"/>
      <c r="I949" s="3"/>
      <c r="J949" s="3"/>
      <c r="K949" s="3"/>
    </row>
    <row r="950" spans="1:11" hidden="1" x14ac:dyDescent="0.2">
      <c r="A950" s="3"/>
      <c r="B950" s="3"/>
      <c r="C950" s="3"/>
      <c r="D950" s="3"/>
      <c r="E950" s="3"/>
      <c r="F950" s="3"/>
      <c r="G950" s="3"/>
      <c r="H950" s="3"/>
      <c r="I950" s="3"/>
      <c r="J950" s="3"/>
      <c r="K950" s="3"/>
    </row>
    <row r="951" spans="1:11" hidden="1" x14ac:dyDescent="0.2">
      <c r="A951" s="3"/>
      <c r="B951" s="3"/>
      <c r="C951" s="3"/>
      <c r="D951" s="3"/>
      <c r="E951" s="3"/>
      <c r="F951" s="3"/>
      <c r="G951" s="3"/>
      <c r="H951" s="3"/>
      <c r="I951" s="3"/>
      <c r="J951" s="3"/>
      <c r="K951" s="3"/>
    </row>
    <row r="952" spans="1:11" hidden="1" x14ac:dyDescent="0.2">
      <c r="A952" s="3"/>
      <c r="B952" s="3"/>
      <c r="C952" s="3"/>
      <c r="D952" s="3"/>
      <c r="E952" s="3"/>
      <c r="F952" s="3"/>
      <c r="G952" s="3"/>
      <c r="H952" s="3"/>
      <c r="I952" s="3"/>
      <c r="J952" s="3"/>
      <c r="K952" s="3"/>
    </row>
    <row r="953" spans="1:11" hidden="1" x14ac:dyDescent="0.2">
      <c r="A953" s="3"/>
      <c r="B953" s="3"/>
      <c r="C953" s="3"/>
      <c r="D953" s="3"/>
      <c r="E953" s="3"/>
      <c r="F953" s="3"/>
      <c r="G953" s="3"/>
      <c r="H953" s="3"/>
      <c r="I953" s="3"/>
      <c r="J953" s="3"/>
      <c r="K953" s="3"/>
    </row>
    <row r="954" spans="1:11" hidden="1" x14ac:dyDescent="0.2">
      <c r="A954" s="3"/>
      <c r="B954" s="3"/>
      <c r="C954" s="3"/>
      <c r="D954" s="3"/>
      <c r="E954" s="3"/>
      <c r="F954" s="3"/>
      <c r="G954" s="3"/>
      <c r="H954" s="3"/>
      <c r="I954" s="3"/>
      <c r="J954" s="3"/>
      <c r="K954" s="3"/>
    </row>
    <row r="955" spans="1:11" hidden="1" x14ac:dyDescent="0.2">
      <c r="A955" s="3"/>
      <c r="B955" s="3"/>
      <c r="C955" s="3"/>
      <c r="D955" s="3"/>
      <c r="E955" s="3"/>
      <c r="F955" s="3"/>
      <c r="G955" s="3"/>
      <c r="H955" s="3"/>
      <c r="I955" s="3"/>
      <c r="J955" s="3"/>
      <c r="K955" s="3"/>
    </row>
    <row r="956" spans="1:11" hidden="1" x14ac:dyDescent="0.2">
      <c r="A956" s="3"/>
      <c r="B956" s="3"/>
      <c r="C956" s="3"/>
      <c r="D956" s="3"/>
      <c r="E956" s="3"/>
      <c r="F956" s="3"/>
      <c r="G956" s="3"/>
      <c r="H956" s="3"/>
      <c r="I956" s="3"/>
      <c r="J956" s="3"/>
      <c r="K956" s="3"/>
    </row>
    <row r="957" spans="1:11" hidden="1" x14ac:dyDescent="0.2">
      <c r="A957" s="3"/>
      <c r="B957" s="3"/>
      <c r="C957" s="3"/>
      <c r="D957" s="3"/>
      <c r="E957" s="3"/>
      <c r="F957" s="3"/>
      <c r="G957" s="3"/>
      <c r="H957" s="3"/>
      <c r="I957" s="3"/>
      <c r="J957" s="3"/>
      <c r="K957" s="3"/>
    </row>
    <row r="958" spans="1:11" hidden="1" x14ac:dyDescent="0.2">
      <c r="A958" s="3"/>
      <c r="B958" s="3"/>
      <c r="C958" s="3"/>
      <c r="D958" s="3"/>
      <c r="E958" s="3"/>
      <c r="F958" s="3"/>
      <c r="G958" s="3"/>
      <c r="H958" s="3"/>
      <c r="I958" s="3"/>
      <c r="J958" s="3"/>
      <c r="K958" s="3"/>
    </row>
    <row r="959" spans="1:11" hidden="1" x14ac:dyDescent="0.2">
      <c r="A959" s="3"/>
      <c r="B959" s="3"/>
      <c r="C959" s="3"/>
      <c r="D959" s="3"/>
      <c r="E959" s="3"/>
      <c r="F959" s="3"/>
      <c r="G959" s="3"/>
      <c r="H959" s="3"/>
      <c r="I959" s="3"/>
      <c r="J959" s="3"/>
      <c r="K959" s="3"/>
    </row>
    <row r="960" spans="1:11" hidden="1" x14ac:dyDescent="0.2">
      <c r="A960" s="3"/>
      <c r="B960" s="3"/>
      <c r="C960" s="3"/>
      <c r="D960" s="3"/>
      <c r="E960" s="3"/>
      <c r="F960" s="3"/>
      <c r="G960" s="3"/>
      <c r="H960" s="3"/>
      <c r="I960" s="3"/>
      <c r="J960" s="3"/>
      <c r="K960" s="3"/>
    </row>
    <row r="961" spans="1:11" hidden="1" x14ac:dyDescent="0.2">
      <c r="A961" s="3"/>
      <c r="B961" s="3"/>
      <c r="C961" s="3"/>
      <c r="D961" s="3"/>
      <c r="E961" s="3"/>
      <c r="F961" s="3"/>
      <c r="G961" s="3"/>
      <c r="H961" s="3"/>
      <c r="I961" s="3"/>
      <c r="J961" s="3"/>
      <c r="K961" s="3"/>
    </row>
    <row r="962" spans="1:11" hidden="1" x14ac:dyDescent="0.2">
      <c r="A962" s="3"/>
      <c r="B962" s="3"/>
      <c r="C962" s="3"/>
      <c r="D962" s="3"/>
      <c r="E962" s="3"/>
      <c r="F962" s="3"/>
      <c r="G962" s="3"/>
      <c r="H962" s="3"/>
      <c r="I962" s="3"/>
      <c r="J962" s="3"/>
      <c r="K962" s="3"/>
    </row>
    <row r="963" spans="1:11" x14ac:dyDescent="0.2"/>
  </sheetData>
  <sheetProtection algorithmName="SHA-512" hashValue="EQPOQf93V5HHvAiAxBorlonM/F+AKzNkQKGXTdOfcLKFLDfMmkpLbgnDHabWveG8sALThpd2vdziklN0JKq5xA==" saltValue="1eodEqwSFaE8xubHA9DGI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5" hidden="1" customWidth="1"/>
    <col min="11" max="11" width="4.5" style="1" hidden="1" customWidth="1"/>
    <col min="12" max="12" width="6.59765625" style="1" hidden="1" customWidth="1"/>
    <col min="13" max="16384" width="6.59765625" hidden="1"/>
  </cols>
  <sheetData>
    <row r="1" spans="1:10" ht="0" hidden="1" customHeight="1" x14ac:dyDescent="0.2">
      <c r="A1" t="s">
        <v>1448</v>
      </c>
    </row>
    <row r="2" spans="1:10" ht="36" customHeight="1" x14ac:dyDescent="0.2">
      <c r="A2" s="168" t="s">
        <v>1514</v>
      </c>
      <c r="B2" s="168"/>
      <c r="C2" s="169"/>
      <c r="D2" s="308"/>
      <c r="E2" s="170"/>
      <c r="F2" s="170" t="str">
        <f>'Auto Responses'!$A$36</f>
        <v>Version 4.1.5</v>
      </c>
      <c r="J2" s="1"/>
    </row>
    <row r="3" spans="1:10" s="1" customFormat="1" ht="29.1" customHeight="1" x14ac:dyDescent="0.2">
      <c r="A3" s="37" t="s">
        <v>940</v>
      </c>
      <c r="B3" s="38"/>
      <c r="C3" s="66">
        <f>'START HERE'!$C$3</f>
        <v>0</v>
      </c>
      <c r="D3" s="309"/>
      <c r="E3" s="36"/>
      <c r="F3" s="50"/>
      <c r="I3" s="35"/>
    </row>
    <row r="4" spans="1:10" s="1" customFormat="1" ht="36" customHeight="1" x14ac:dyDescent="0.2">
      <c r="A4" s="11" t="s">
        <v>865</v>
      </c>
      <c r="B4" s="12"/>
      <c r="C4" s="13"/>
      <c r="D4" s="14"/>
      <c r="E4" s="15"/>
      <c r="F4" s="15"/>
      <c r="I4" s="35"/>
    </row>
    <row r="5" spans="1:10" s="1" customFormat="1" ht="19.5" customHeight="1" x14ac:dyDescent="0.2">
      <c r="A5" s="42" t="str">
        <f>HLOOKUP($A$4,'Auto Responses'!$D$2:$D$8,2,0)&amp;""</f>
        <v>1. Complete the "Start Here" tab and review the "Required Questions" guidance to find the other sections are required for your product or service.</v>
      </c>
      <c r="B5" s="16"/>
      <c r="C5" s="67"/>
      <c r="D5" s="310"/>
      <c r="E5" s="16"/>
      <c r="F5" s="261"/>
      <c r="I5" s="35"/>
    </row>
    <row r="6" spans="1:10" s="1" customFormat="1" ht="19.5" customHeight="1" x14ac:dyDescent="0.2">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0" s="1" customFormat="1" ht="19.5" customHeight="1" x14ac:dyDescent="0.2">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0" s="1" customFormat="1" ht="19.5" customHeight="1" x14ac:dyDescent="0.2">
      <c r="A8" s="42" t="str">
        <f>HLOOKUP($A$4,'Auto Responses'!$D$2:$D$8,5,0)&amp;""</f>
        <v>4. DO NOT complete any fields in the "Evaluation" sheets or the "Analyst Notes" column.</v>
      </c>
      <c r="B8" s="16"/>
      <c r="C8" s="67"/>
      <c r="D8" s="310"/>
      <c r="E8" s="16"/>
      <c r="F8" s="262"/>
      <c r="I8" s="35"/>
    </row>
    <row r="9" spans="1:10" s="1" customFormat="1" ht="19.5" customHeight="1" x14ac:dyDescent="0.2">
      <c r="A9" s="42" t="str">
        <f>HLOOKUP($A$4,'Auto Responses'!$D$2:$D$8,6,0)&amp;""</f>
        <v>5. Return the completed file to institutions.</v>
      </c>
      <c r="B9" s="16"/>
      <c r="C9" s="67"/>
      <c r="D9" s="310"/>
      <c r="E9" s="16"/>
      <c r="F9" s="262"/>
      <c r="I9" s="35"/>
    </row>
    <row r="10" spans="1:10" s="1" customFormat="1" ht="19.5" customHeight="1" x14ac:dyDescent="0.2">
      <c r="A10" s="247" t="str">
        <f>HLOOKUP($A$4,'Auto Responses'!$D$2:$D$8,7,0)&amp;""</f>
        <v>* Denotes critical questions. Critical questions are those deemed most important to institutions by higher education volunteers.</v>
      </c>
      <c r="B10" s="16"/>
      <c r="C10" s="67"/>
      <c r="D10" s="310"/>
      <c r="E10" s="16"/>
      <c r="F10" s="262"/>
      <c r="I10" s="35"/>
    </row>
    <row r="11" spans="1:10" s="249" customFormat="1" ht="19.5" customHeight="1" x14ac:dyDescent="0.2">
      <c r="A11" s="246" t="str">
        <f>HLOOKUP($A$4,'Auto Responses'!$D$2:$D$9,8,0)&amp;""</f>
        <v>For full instructions, please visit educause.edu/HECVAT</v>
      </c>
      <c r="B11" s="247"/>
      <c r="C11" s="248"/>
      <c r="D11" s="319"/>
      <c r="E11" s="247"/>
      <c r="F11" s="264"/>
      <c r="I11" s="250"/>
    </row>
    <row r="12" spans="1:10" s="1" customFormat="1" ht="36" customHeight="1" x14ac:dyDescent="0.2">
      <c r="A12" s="63" t="str">
        <f>VLOOKUP(LEFT($A13,4),'Auto Responses'!$N$4:$O$38,2,0)&amp;""</f>
        <v xml:space="preserve"> General Information</v>
      </c>
      <c r="B12" s="12"/>
      <c r="C12" s="13" t="s">
        <v>1497</v>
      </c>
      <c r="D12" s="311"/>
      <c r="E12" s="17"/>
      <c r="F12" s="17"/>
      <c r="I12" s="35"/>
      <c r="J12" s="35"/>
    </row>
    <row r="13" spans="1:10" s="1" customFormat="1" ht="22.35" customHeight="1" x14ac:dyDescent="0.2">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
      <c r="A14" s="19" t="s">
        <v>24</v>
      </c>
      <c r="B14" s="20" t="str">
        <f>VLOOKUP($A14,Questions!$A$2:$X$333,2,0)&amp;""</f>
        <v>Solution Name</v>
      </c>
      <c r="C14" s="76" t="str">
        <f>VLOOKUP($A14,'START HERE'!$A$13:$C$21,3,0)&amp;""</f>
        <v/>
      </c>
      <c r="D14" s="32"/>
      <c r="E14" s="32"/>
      <c r="F14" s="50"/>
      <c r="I14" s="35"/>
      <c r="J14" s="35"/>
    </row>
    <row r="15" spans="1:10" s="1" customFormat="1" ht="22.35" customHeight="1" x14ac:dyDescent="0.2">
      <c r="A15" s="19" t="s">
        <v>25</v>
      </c>
      <c r="B15" s="20" t="str">
        <f>VLOOKUP($A15,Questions!$A$2:$X$333,2,0)&amp;""</f>
        <v>Solution Description</v>
      </c>
      <c r="C15" s="76" t="str">
        <f>VLOOKUP($A15,'START HERE'!$A$13:$C$21,3,0)&amp;""</f>
        <v/>
      </c>
      <c r="D15" s="32"/>
      <c r="E15" s="32"/>
      <c r="F15" s="50"/>
      <c r="I15" s="35"/>
      <c r="J15" s="35"/>
    </row>
    <row r="16" spans="1:10" s="1" customFormat="1" ht="22.35" customHeight="1" x14ac:dyDescent="0.2">
      <c r="A16" s="19" t="s">
        <v>26</v>
      </c>
      <c r="B16" s="20" t="str">
        <f>VLOOKUP($A16,Questions!$A$2:$X$333,2,0)&amp;""</f>
        <v>Solution Provider Contact Name</v>
      </c>
      <c r="C16" s="76" t="str">
        <f>VLOOKUP($A16,'START HERE'!$A$13:$C$21,3,0)&amp;""</f>
        <v/>
      </c>
      <c r="D16" s="32"/>
      <c r="E16" s="32"/>
      <c r="F16" s="50"/>
      <c r="I16" s="35"/>
      <c r="J16" s="35"/>
    </row>
    <row r="17" spans="1:10" s="1" customFormat="1" ht="22.35" customHeight="1" x14ac:dyDescent="0.2">
      <c r="A17" s="19" t="s">
        <v>27</v>
      </c>
      <c r="B17" s="20" t="str">
        <f>VLOOKUP($A17,Questions!$A$2:$X$333,2,0)&amp;""</f>
        <v>Solution Provider Contact Title</v>
      </c>
      <c r="C17" s="76" t="str">
        <f>VLOOKUP($A17,'START HERE'!$A$13:$C$21,3,0)&amp;""</f>
        <v/>
      </c>
      <c r="D17" s="32"/>
      <c r="E17" s="32"/>
      <c r="F17" s="50"/>
      <c r="I17" s="35"/>
      <c r="J17" s="35"/>
    </row>
    <row r="18" spans="1:10" s="1" customFormat="1" ht="22.35" customHeight="1" x14ac:dyDescent="0.2">
      <c r="A18" s="19" t="s">
        <v>28</v>
      </c>
      <c r="B18" s="20" t="str">
        <f>VLOOKUP($A18,Questions!$A$2:$X$333,2,0)&amp;""</f>
        <v>Solution Provider Contact Email</v>
      </c>
      <c r="C18" s="76" t="str">
        <f>VLOOKUP($A18,'START HERE'!$A$13:$C$21,3,0)&amp;""</f>
        <v/>
      </c>
      <c r="D18" s="32"/>
      <c r="E18" s="32"/>
      <c r="F18" s="50"/>
      <c r="I18" s="35"/>
      <c r="J18" s="35"/>
    </row>
    <row r="19" spans="1:10" s="1" customFormat="1" ht="22.35" customHeight="1" x14ac:dyDescent="0.2">
      <c r="A19" s="19" t="s">
        <v>29</v>
      </c>
      <c r="B19" s="20" t="str">
        <f>VLOOKUP($A19,Questions!$A$2:$X$333,2,0)&amp;""</f>
        <v>Solution Provider Contact Phone Number</v>
      </c>
      <c r="C19" s="76" t="str">
        <f>VLOOKUP($A19,'START HERE'!$A$13:$C$21,3,0)&amp;""</f>
        <v/>
      </c>
      <c r="D19" s="32"/>
      <c r="E19" s="32"/>
      <c r="F19" s="50"/>
      <c r="I19" s="35"/>
      <c r="J19" s="35"/>
    </row>
    <row r="20" spans="1:10" s="1" customFormat="1" ht="22.35" customHeight="1" thickBot="1" x14ac:dyDescent="0.25">
      <c r="A20" s="19" t="s">
        <v>30</v>
      </c>
      <c r="B20" s="20" t="str">
        <f>VLOOKUP($A20,Questions!$A$2:$X$333,2,0)&amp;""</f>
        <v>Country of Company Headquarters</v>
      </c>
      <c r="C20" s="76" t="str">
        <f>VLOOKUP($A20,'START HERE'!$A$13:$C$21,3,0)&amp;""</f>
        <v/>
      </c>
      <c r="D20" s="32"/>
      <c r="E20" s="32"/>
      <c r="F20" s="50"/>
      <c r="I20" s="35"/>
      <c r="J20" s="35"/>
    </row>
    <row r="21" spans="1:10" s="1" customFormat="1" ht="37.35" customHeight="1" thickBot="1" x14ac:dyDescent="0.25">
      <c r="A21" s="63" t="str">
        <f>VLOOKUP(LEFT($A22,4),'Auto Responses'!$N$4:$O$38,2,0)&amp;""</f>
        <v xml:space="preserve"> Documentation</v>
      </c>
      <c r="B21" s="22"/>
      <c r="C21" s="13" t="s">
        <v>1497</v>
      </c>
      <c r="D21" s="13" t="s">
        <v>72</v>
      </c>
      <c r="E21" s="31" t="s">
        <v>848</v>
      </c>
      <c r="F21" s="187" t="s">
        <v>849</v>
      </c>
      <c r="I21" s="35"/>
      <c r="J21" s="35"/>
    </row>
    <row r="22" spans="1:10" s="1" customFormat="1" ht="38.25" customHeight="1" x14ac:dyDescent="0.2">
      <c r="A22" s="19" t="s">
        <v>70</v>
      </c>
      <c r="B22" s="18" t="str">
        <f>VLOOKUP($A22,Questions!$A$2:$X$333,2,0)</f>
        <v>Do you have a well-documented business continuity plan (BCP), with a clear owner, that is tested annually?*</v>
      </c>
      <c r="C22" s="21"/>
      <c r="D22" s="34"/>
      <c r="E22" s="167" t="str">
        <f>IF($C22='Auto Responses'!$J$3,VLOOKUP($A22,Questions!$A$2:$X$333,17,0)&amp;"",IF($C22='Auto Responses'!$J$4,VLOOKUP($A22,Questions!$A$2:$X$333,16,0)&amp;"",VLOOKUP($A22,Questions!$A$2:$X$333,15,0)&amp;""))</f>
        <v/>
      </c>
      <c r="F22" s="201" t="str">
        <f>VLOOKUP($A22,'Institution Evaluation'!$A$56:$F$345,6,0)&amp;""</f>
        <v/>
      </c>
      <c r="I22" s="35"/>
      <c r="J22" s="35"/>
    </row>
    <row r="23" spans="1:10" s="1" customFormat="1" ht="38.25" customHeight="1" x14ac:dyDescent="0.2">
      <c r="A23" s="19" t="s">
        <v>76</v>
      </c>
      <c r="B23" s="18" t="str">
        <f>VLOOKUP($A23,Questions!$A$2:$X$333,2,0)</f>
        <v>Do you have a well-documented disaster recovery plan (DRP), with a clear owner, that is tested annually?*</v>
      </c>
      <c r="C23" s="21"/>
      <c r="D23" s="34"/>
      <c r="E23" s="167" t="str">
        <f>IF($C23='Auto Responses'!$J$3,VLOOKUP($A23,Questions!$A$2:$X$333,17,0)&amp;"",IF($C23='Auto Responses'!$J$4,VLOOKUP($A23,Questions!$A$2:$X$333,16,0)&amp;"",VLOOKUP($A23,Questions!$A$2:$X$333,15,0)&amp;""))</f>
        <v/>
      </c>
      <c r="F23" s="201" t="str">
        <f>VLOOKUP($A23,'Institution Evaluation'!$A$56:$F$345,6,0)&amp;""</f>
        <v/>
      </c>
      <c r="I23" s="35"/>
      <c r="J23" s="35"/>
    </row>
    <row r="24" spans="1:10" s="1" customFormat="1" ht="45.75" customHeight="1" x14ac:dyDescent="0.2">
      <c r="A24" s="19" t="s">
        <v>77</v>
      </c>
      <c r="B24" s="18" t="str">
        <f>VLOOKUP($A24,Questions!$A$2:$X$333,2,0)</f>
        <v>Have you undergone a SSAE 18/SOC 2 audit?</v>
      </c>
      <c r="C24" s="21"/>
      <c r="D24" s="34"/>
      <c r="E24" s="167" t="str">
        <f>IF($C24='Auto Responses'!$J$3,VLOOKUP($A24,Questions!$A$2:$X$333,17,0)&amp;"",IF($C24='Auto Responses'!$J$4,VLOOKUP($A24,Questions!$A$2:$X$333,16,0)&amp;"",VLOOKUP($A24,Questions!$A$2:$X$333,15,0)&amp;""))</f>
        <v/>
      </c>
      <c r="F24" s="201" t="str">
        <f>VLOOKUP($A24,'Institution Evaluation'!$A$56:$F$345,6,0)&amp;""</f>
        <v/>
      </c>
      <c r="I24" s="35"/>
      <c r="J24" s="35"/>
    </row>
    <row r="25" spans="1:10" s="1" customFormat="1" ht="48" customHeight="1" x14ac:dyDescent="0.2">
      <c r="A25" s="19" t="s">
        <v>80</v>
      </c>
      <c r="B25" s="18" t="str">
        <f>VLOOKUP($A25,Questions!$A$2:$X$333,2,0)</f>
        <v>Do you conform with a specific industry standard security framework (e.g., NIST Cybersecurity Framework, CIS Controls, ISO 27001, etc.)?</v>
      </c>
      <c r="C25" s="21"/>
      <c r="D25" s="34"/>
      <c r="E25" s="167" t="str">
        <f>IF($C25='Auto Responses'!$J$3,VLOOKUP($A25,Questions!$A$2:$X$333,17,0)&amp;"",IF($C25='Auto Responses'!$J$4,VLOOKUP($A25,Questions!$A$2:$X$333,16,0)&amp;"",VLOOKUP($A25,Questions!$A$2:$X$333,15,0)&amp;""))</f>
        <v/>
      </c>
      <c r="F25" s="201" t="str">
        <f>VLOOKUP($A25,'Institution Evaluation'!$A$56:$F$345,6,0)&amp;""</f>
        <v/>
      </c>
      <c r="I25" s="35"/>
      <c r="J25" s="35"/>
    </row>
    <row r="26" spans="1:10" s="1" customFormat="1" ht="52.5" customHeight="1" x14ac:dyDescent="0.2">
      <c r="A26" s="19" t="s">
        <v>84</v>
      </c>
      <c r="B26" s="18" t="str">
        <f>VLOOKUP($A26,Questions!$A$2:$X$333,2,0)</f>
        <v>Can you provide overall system and/or application architecture diagrams, including a full description of the data flow for all components of the system?</v>
      </c>
      <c r="C26" s="21"/>
      <c r="D26" s="34"/>
      <c r="E26" s="167" t="str">
        <f>IF($C26='Auto Responses'!$J$3,VLOOKUP($A26,Questions!$A$2:$X$333,17,0)&amp;"",IF($C26='Auto Responses'!$J$4,VLOOKUP($A26,Questions!$A$2:$X$333,16,0)&amp;"",VLOOKUP($A26,Questions!$A$2:$X$333,15,0)&amp;""))</f>
        <v/>
      </c>
      <c r="F26" s="201" t="str">
        <f>VLOOKUP($A26,'Institution Evaluation'!$A$56:$F$345,6,0)&amp;""</f>
        <v/>
      </c>
      <c r="I26" s="35"/>
      <c r="J26" s="35"/>
    </row>
    <row r="27" spans="1:10" s="1" customFormat="1" ht="55.5" customHeight="1" x14ac:dyDescent="0.2">
      <c r="A27" s="19" t="s">
        <v>88</v>
      </c>
      <c r="B27" s="18" t="str">
        <f>VLOOKUP($A27,Questions!$A$2:$X$333,2,0)</f>
        <v>Does your organization have a data privacy policy?</v>
      </c>
      <c r="C27" s="21"/>
      <c r="D27" s="34"/>
      <c r="E27" s="167" t="str">
        <f>IF($C27='Auto Responses'!$J$3,VLOOKUP($A27,Questions!$A$2:$X$333,17,0)&amp;"",IF($C27='Auto Responses'!$J$4,VLOOKUP($A27,Questions!$A$2:$X$333,16,0)&amp;"",VLOOKUP($A27,Questions!$A$2:$X$333,15,0)&amp;""))</f>
        <v/>
      </c>
      <c r="F27" s="201" t="str">
        <f>VLOOKUP($A27,'Institution Evaluation'!$A$56:$F$345,6,0)&amp;""</f>
        <v/>
      </c>
      <c r="I27" s="35"/>
      <c r="J27" s="35"/>
    </row>
    <row r="28" spans="1:10" s="1" customFormat="1" ht="38.25" customHeight="1" thickBot="1" x14ac:dyDescent="0.25">
      <c r="A28" s="19" t="s">
        <v>92</v>
      </c>
      <c r="B28" s="18" t="str">
        <f>VLOOKUP($A28,Questions!$A$2:$X$333,2,0)</f>
        <v>Do you have a documented, and currently implemented, employee onboarding and offboarding policy?</v>
      </c>
      <c r="C28" s="21"/>
      <c r="D28" s="34"/>
      <c r="E28" s="167" t="str">
        <f>IF($C28='Auto Responses'!$J$3,VLOOKUP($A28,Questions!$A$2:$X$333,17,0)&amp;"",IF($C28='Auto Responses'!$J$4,VLOOKUP($A28,Questions!$A$2:$X$333,16,0)&amp;"",VLOOKUP($A28,Questions!$A$2:$X$333,15,0)&amp;""))</f>
        <v/>
      </c>
      <c r="F28" s="201" t="str">
        <f>VLOOKUP($A28,'Institution Evaluation'!$A$56:$F$345,6,0)&amp;""</f>
        <v/>
      </c>
      <c r="G28" s="238" t="s">
        <v>1449</v>
      </c>
      <c r="I28" s="35"/>
      <c r="J28" s="35"/>
    </row>
    <row r="29" spans="1:10" s="1" customFormat="1" ht="37.35" customHeight="1" thickBot="1" x14ac:dyDescent="0.25">
      <c r="A29" s="63" t="str">
        <f>VLOOKUP(LEFT($A30,4),'Auto Responses'!$N$4:$O$38,2,0)&amp;""</f>
        <v xml:space="preserve"> Assessment of Third Parties</v>
      </c>
      <c r="B29" s="22"/>
      <c r="C29" s="13" t="s">
        <v>1497</v>
      </c>
      <c r="D29" s="13" t="s">
        <v>72</v>
      </c>
      <c r="E29" s="31" t="s">
        <v>848</v>
      </c>
      <c r="F29" s="187" t="s">
        <v>849</v>
      </c>
      <c r="I29" s="35"/>
      <c r="J29" s="35"/>
    </row>
    <row r="30" spans="1:10" s="1" customFormat="1" ht="46.5" customHeight="1" x14ac:dyDescent="0.2">
      <c r="A30" s="19" t="s">
        <v>130</v>
      </c>
      <c r="B30" s="18" t="str">
        <f>VLOOKUP($A30,Questions!$A$2:$X$333,2,0)</f>
        <v>Do you perform security assessments of third-party companies with which you share data (e.g., hosting providers, cloud services, PaaS, IaaS, SaaS)?*</v>
      </c>
      <c r="C30" s="21"/>
      <c r="D30" s="320"/>
      <c r="E30" s="167" t="str">
        <f>IF($C30='Auto Responses'!$J$3,VLOOKUP($A30,Questions!$A$2:$X$333,17,0)&amp;"",IF($C30='Auto Responses'!$J$4,VLOOKUP($A30,Questions!$A$2:$X$333,16,0)&amp;"",IF($C30='Auto Responses'!$J$5,VLOOKUP($A30,Questions!$A$2:$X$333,18,0)&amp;"",VLOOKUP($A30,Questions!$A$2:$X$333,15,0)&amp;"")))</f>
        <v/>
      </c>
      <c r="F30" s="201" t="str">
        <f>VLOOKUP($A30,'Institution Evaluation'!$A$56:$F$345,6,0)&amp;""</f>
        <v/>
      </c>
      <c r="I30" s="35"/>
      <c r="J30" s="35"/>
    </row>
    <row r="31" spans="1:10" s="1" customFormat="1" ht="61.5" customHeight="1" x14ac:dyDescent="0.2">
      <c r="A31" s="19" t="s">
        <v>134</v>
      </c>
      <c r="B31" s="18" t="str">
        <f>VLOOKUP($A31,Questions!$A$2:$X$333,2,0)</f>
        <v>Do you have contractual language in place with third parties governing access to institutional data?*</v>
      </c>
      <c r="C31" s="21"/>
      <c r="D31" s="320"/>
      <c r="E31" s="167" t="str">
        <f>IF($C31='Auto Responses'!$J$3,VLOOKUP($A31,Questions!$A$2:$X$333,17,0)&amp;"",IF($C31='Auto Responses'!$J$4,VLOOKUP($A31,Questions!$A$2:$X$333,16,0)&amp;"",IF($C31='Auto Responses'!$J$5,VLOOKUP($A31,Questions!$A$2:$X$333,18,0)&amp;"",VLOOKUP($A31,Questions!$A$2:$X$333,15,0)&amp;"")))</f>
        <v>List each third party and why institutional data is shared with them. Format example: [Third Party Name] - Reason</v>
      </c>
      <c r="F31" s="201" t="str">
        <f>VLOOKUP($A31,'Institution Evaluation'!$A$56:$F$345,6,0)&amp;""</f>
        <v/>
      </c>
      <c r="I31" s="35"/>
      <c r="J31" s="35"/>
    </row>
    <row r="32" spans="1:10" s="1" customFormat="1" ht="50.25" customHeight="1" x14ac:dyDescent="0.2">
      <c r="A32" s="19" t="s">
        <v>136</v>
      </c>
      <c r="B32" s="18" t="str">
        <f>VLOOKUP($A32,Questions!$A$2:$X$333,2,0)</f>
        <v>Do the contracts in place with these third parties address liability in the event of a data breach?*</v>
      </c>
      <c r="C32" s="21"/>
      <c r="D32" s="320"/>
      <c r="E32" s="167" t="str">
        <f>IF($C32='Auto Responses'!$J$3,VLOOKUP($A32,Questions!$A$2:$X$333,17,0)&amp;"",IF($C32='Auto Responses'!$J$4,VLOOKUP($A32,Questions!$A$2:$X$333,16,0)&amp;"",IF($C32='Auto Responses'!$J$5,VLOOKUP($A32,Questions!$A$2:$X$333,18,0)&amp;"",VLOOKUP($A32,Questions!$A$2:$X$333,15,0)&amp;"")))</f>
        <v/>
      </c>
      <c r="F32" s="201" t="str">
        <f>VLOOKUP($A32,'Institution Evaluation'!$A$56:$F$345,6,0)&amp;""</f>
        <v/>
      </c>
      <c r="I32" s="35"/>
      <c r="J32" s="35"/>
    </row>
    <row r="33" spans="1:10" s="1" customFormat="1" ht="62.25" customHeight="1" x14ac:dyDescent="0.2">
      <c r="A33" s="19" t="s">
        <v>137</v>
      </c>
      <c r="B33" s="18" t="str">
        <f>VLOOKUP($A33,Questions!$A$2:$X$333,2,0)</f>
        <v>Do you have an implemented third-party management strategy?*</v>
      </c>
      <c r="C33" s="21"/>
      <c r="D33" s="320"/>
      <c r="E33" s="167" t="str">
        <f>IF($C33='Auto Responses'!$J$3,VLOOKUP($A33,Questions!$A$2:$X$333,17,0)&amp;"",IF($C33='Auto Responses'!$J$4,VLOOKUP($A33,Questions!$A$2:$X$333,16,0)&amp;"",IF($C33='Auto Responses'!$J$5,VLOOKUP($A33,Questions!$A$2:$X$333,18,0)&amp;"",VLOOKUP($A33,Questions!$A$2:$X$333,15,0)&amp;"")))</f>
        <v>Robust answers from the solution provider improve the quality and efficiency of the security assessment process.</v>
      </c>
      <c r="F33" s="201" t="str">
        <f>VLOOKUP($A33,'Institution Evaluation'!$A$56:$F$345,6,0)&amp;""</f>
        <v/>
      </c>
      <c r="I33" s="35"/>
      <c r="J33" s="35"/>
    </row>
    <row r="34" spans="1:10" s="1" customFormat="1" ht="53.25" customHeight="1" thickBot="1" x14ac:dyDescent="0.25">
      <c r="A34" s="19" t="s">
        <v>140</v>
      </c>
      <c r="B34" s="18" t="str">
        <f>VLOOKUP($A34,Questions!$A$2:$X$333,2,0)</f>
        <v>Do you have a process and implemented procedures for managing your hardware supply chain (e.g., telecommunications equipment, export licensing, computing devices)?</v>
      </c>
      <c r="C34" s="21"/>
      <c r="D34" s="320"/>
      <c r="E34" s="167" t="str">
        <f>IF($C34='Auto Responses'!$J$3,VLOOKUP($A34,Questions!$A$2:$X$333,17,0)&amp;"",IF($C34='Auto Responses'!$J$4,VLOOKUP($A34,Questions!$A$2:$X$333,16,0)&amp;"",VLOOKUP($A34,Questions!$A$2:$X$333,15,0)&amp;""))</f>
        <v>Make sure you address any national or regional regulations.</v>
      </c>
      <c r="F34" s="201" t="str">
        <f>VLOOKUP($A34,'Institution Evaluation'!$A$56:$F$345,6,0)&amp;""</f>
        <v/>
      </c>
      <c r="G34" s="238" t="s">
        <v>1449</v>
      </c>
      <c r="I34" s="35"/>
      <c r="J34" s="35"/>
    </row>
    <row r="35" spans="1:10" s="1" customFormat="1" ht="37.35" customHeight="1" thickBot="1" x14ac:dyDescent="0.25">
      <c r="A35" s="63" t="str">
        <f>VLOOKUP(LEFT($A36,4),'Auto Responses'!$N$4:$O$38,2,0)&amp;""</f>
        <v xml:space="preserve"> Change Management</v>
      </c>
      <c r="B35" s="22"/>
      <c r="C35" s="13" t="s">
        <v>1497</v>
      </c>
      <c r="D35" s="13" t="s">
        <v>72</v>
      </c>
      <c r="E35" s="31" t="s">
        <v>848</v>
      </c>
      <c r="F35" s="187" t="s">
        <v>849</v>
      </c>
      <c r="I35" s="35"/>
      <c r="J35" s="35"/>
    </row>
    <row r="36" spans="1:10" s="1" customFormat="1" ht="38.25" customHeight="1" x14ac:dyDescent="0.2">
      <c r="A36" s="19" t="s">
        <v>274</v>
      </c>
      <c r="B36" s="18" t="str">
        <f>VLOOKUP($A36,Questions!$A$2:$X$333,2,0)</f>
        <v>Will the institution be notified of major changes to your environment that could impact the institution's security posture?*</v>
      </c>
      <c r="C36" s="21"/>
      <c r="D36" s="320"/>
      <c r="E36" s="167" t="str">
        <f>IF($C36='Auto Responses'!$J$3,VLOOKUP($A36,Questions!$A$2:$X$333,17,0)&amp;"",IF($C36='Auto Responses'!$J$4,VLOOKUP($A36,Questions!$A$2:$X$333,16,0)&amp;"",VLOOKUP($A36,Questions!$A$2:$X$333,15,0)&amp;""))</f>
        <v/>
      </c>
      <c r="F36" s="201" t="str">
        <f>VLOOKUP($A36,'Institution Evaluation'!$A$56:$F$345,6,0)&amp;""</f>
        <v/>
      </c>
      <c r="I36" s="35"/>
      <c r="J36" s="35"/>
    </row>
    <row r="37" spans="1:10" s="1" customFormat="1" ht="54" customHeight="1" x14ac:dyDescent="0.2">
      <c r="A37" s="19" t="s">
        <v>279</v>
      </c>
      <c r="B37" s="18" t="str">
        <f>VLOOKUP($A37,Questions!$A$2:$X$333,2,0)</f>
        <v>Does the system support client customizations from one release to another?*</v>
      </c>
      <c r="C37" s="21"/>
      <c r="D37" s="320"/>
      <c r="E37" s="167" t="str">
        <f>IF($C37='Auto Responses'!$J$3,VLOOKUP($A37,Questions!$A$2:$X$333,17,0)&amp;"",IF($C37='Auto Responses'!$J$4,VLOOKUP($A37,Questions!$A$2:$X$333,16,0)&amp;"",IF($C37='Auto Responses'!$J$5,VLOOKUP($A37,Questions!$A$2:$X$333,18,0)&amp;"",VLOOKUP($A37,Questions!$A$2:$X$333,15,0)&amp;"")))</f>
        <v>Ensure that all relevant details pertaining to CHNG-06 are clearly stated in your response.</v>
      </c>
      <c r="F37" s="201" t="str">
        <f>VLOOKUP($A37,'Institution Evaluation'!$A$56:$F$345,6,0)&amp;""</f>
        <v/>
      </c>
      <c r="I37" s="35"/>
      <c r="J37" s="35"/>
    </row>
    <row r="38" spans="1:10" s="1" customFormat="1" ht="65.25" customHeight="1" x14ac:dyDescent="0.2">
      <c r="A38" s="19" t="s">
        <v>280</v>
      </c>
      <c r="B38" s="18" t="str">
        <f>VLOOKUP($A38,Questions!$A$2:$X$333,2,0)</f>
        <v>Do you have an implemented system configuration management process (e.g., secure "gold" images, etc.)?*</v>
      </c>
      <c r="C38" s="21"/>
      <c r="D38" s="320"/>
      <c r="E38" s="167" t="str">
        <f>IF($C38='Auto Responses'!$J$3,VLOOKUP($A38,Questions!$A$2:$X$333,17,0)&amp;"",IF($C38='Auto Responses'!$J$4,VLOOKUP($A38,Questions!$A$2:$X$333,16,0)&amp;"",IF($C38='Auto Responses'!$J$5,VLOOKUP($A38,Questions!$A$2:$X$333,18,0)&amp;"",VLOOKUP($A38,Questions!$A$2:$X$333,15,0)&amp;"")))</f>
        <v/>
      </c>
      <c r="F38" s="201" t="str">
        <f>VLOOKUP($A38,'Institution Evaluation'!$A$56:$F$345,6,0)&amp;""</f>
        <v/>
      </c>
      <c r="I38" s="35"/>
      <c r="J38" s="35"/>
    </row>
    <row r="39" spans="1:10" s="1" customFormat="1" ht="38.25" customHeight="1" x14ac:dyDescent="0.2">
      <c r="A39" s="19" t="s">
        <v>281</v>
      </c>
      <c r="B39" s="18" t="str">
        <f>VLOOKUP($A39,Questions!$A$2:$X$333,2,0)</f>
        <v>Do you have a documented change management process?</v>
      </c>
      <c r="C39" s="21"/>
      <c r="D39" s="320"/>
      <c r="E39" s="167" t="str">
        <f>IF($C39='Auto Responses'!$J$3,VLOOKUP($A39,Questions!$A$2:$X$333,17,0)&amp;"",IF($C39='Auto Responses'!$J$4,VLOOKUP($A39,Questions!$A$2:$X$333,16,0)&amp;"",VLOOKUP($A39,Questions!$A$2:$X$333,15,0)&amp;""))</f>
        <v/>
      </c>
      <c r="F39" s="201" t="str">
        <f>VLOOKUP($A39,'Institution Evaluation'!$A$56:$F$345,6,0)&amp;""</f>
        <v/>
      </c>
      <c r="I39" s="35"/>
      <c r="J39" s="35"/>
    </row>
    <row r="40" spans="1:10" s="1" customFormat="1" ht="53.25" customHeight="1" x14ac:dyDescent="0.2">
      <c r="A40" s="19" t="s">
        <v>285</v>
      </c>
      <c r="B40" s="18" t="str">
        <f>VLOOKUP($A40,Questions!$A$2:$X$333,2,0)</f>
        <v>Does your change management process minimally include authorization, impact analysis, testing, and validation before moving changes to production?</v>
      </c>
      <c r="C40" s="21"/>
      <c r="D40" s="320"/>
      <c r="E40" s="167" t="str">
        <f>IF($C40='Auto Responses'!$J$3,VLOOKUP($A40,Questions!$A$2:$X$333,17,0)&amp;"",IF($C40='Auto Responses'!$J$4,VLOOKUP($A40,Questions!$A$2:$X$333,16,0)&amp;"",VLOOKUP($A40,Questions!$A$2:$X$333,15,0)&amp;""))</f>
        <v/>
      </c>
      <c r="F40" s="201" t="str">
        <f>VLOOKUP($A40,'Institution Evaluation'!$A$56:$F$345,6,0)&amp;""</f>
        <v/>
      </c>
      <c r="I40" s="35"/>
      <c r="J40" s="35"/>
    </row>
    <row r="41" spans="1:10" s="1" customFormat="1" ht="54.75" customHeight="1" x14ac:dyDescent="0.2">
      <c r="A41" s="19" t="s">
        <v>288</v>
      </c>
      <c r="B41" s="18" t="str">
        <f>VLOOKUP($A41,Questions!$A$2:$X$333,2,0)</f>
        <v>Does your change management process verify that all required third-party libraries and dependencies are still supported with each major change?</v>
      </c>
      <c r="C41" s="21"/>
      <c r="D41" s="320"/>
      <c r="E41" s="167" t="str">
        <f>IF($C41='Auto Responses'!$J$3,VLOOKUP($A41,Questions!$A$2:$X$333,17,0)&amp;"",IF($C41='Auto Responses'!$J$4,VLOOKUP($A41,Questions!$A$2:$X$333,16,0)&amp;"",VLOOKUP($A41,Questions!$A$2:$X$333,15,0)&amp;""))</f>
        <v/>
      </c>
      <c r="F41" s="201" t="str">
        <f>VLOOKUP($A41,'Institution Evaluation'!$A$56:$F$345,6,0)&amp;""</f>
        <v/>
      </c>
      <c r="I41" s="35"/>
      <c r="J41" s="35"/>
    </row>
    <row r="42" spans="1:10" s="1" customFormat="1" ht="53.25" customHeight="1" x14ac:dyDescent="0.2">
      <c r="A42" s="19" t="s">
        <v>292</v>
      </c>
      <c r="B42" s="18" t="str">
        <f>VLOOKUP($A42,Questions!$A$2:$X$333,2,0)</f>
        <v>Do you have policy and procedure, currently implemented, managing how critical patches are applied to all systems and applications?</v>
      </c>
      <c r="C42" s="21"/>
      <c r="D42" s="320"/>
      <c r="E42" s="167" t="str">
        <f>IF($C42='Auto Responses'!$J$3,VLOOKUP($A42,Questions!$A$2:$X$333,17,0)&amp;"",IF($C42='Auto Responses'!$J$4,VLOOKUP($A42,Questions!$A$2:$X$333,16,0)&amp;"",VLOOKUP($A42,Questions!$A$2:$X$333,15,0)&amp;""))</f>
        <v/>
      </c>
      <c r="F42" s="201" t="str">
        <f>VLOOKUP($A42,'Institution Evaluation'!$A$56:$F$345,6,0)&amp;""</f>
        <v/>
      </c>
      <c r="I42" s="35"/>
      <c r="J42" s="35"/>
    </row>
    <row r="43" spans="1:10" s="1" customFormat="1" ht="38.25" customHeight="1" x14ac:dyDescent="0.2">
      <c r="A43" s="19" t="s">
        <v>296</v>
      </c>
      <c r="B43" s="18" t="str">
        <f>VLOOKUP($A43,Questions!$A$2:$X$333,2,0)</f>
        <v>Have you implemented policies and procedures that guide how security risks are mitigated until patches can be applied?</v>
      </c>
      <c r="C43" s="21"/>
      <c r="D43" s="320"/>
      <c r="E43" s="167" t="str">
        <f>IF($C43='Auto Responses'!$J$3,VLOOKUP($A43,Questions!$A$2:$X$333,17,0)&amp;"",IF($C43='Auto Responses'!$J$4,VLOOKUP($A43,Questions!$A$2:$X$333,16,0)&amp;"",VLOOKUP($A43,Questions!$A$2:$X$333,15,0)&amp;""))</f>
        <v/>
      </c>
      <c r="F43" s="201" t="str">
        <f>VLOOKUP($A43,'Institution Evaluation'!$A$56:$F$345,6,0)&amp;""</f>
        <v/>
      </c>
      <c r="I43" s="35"/>
      <c r="J43" s="35"/>
    </row>
    <row r="44" spans="1:10" s="1" customFormat="1" ht="52.5" customHeight="1" x14ac:dyDescent="0.2">
      <c r="A44" s="19" t="s">
        <v>299</v>
      </c>
      <c r="B44" s="18" t="str">
        <f>VLOOKUP($A44,Questions!$A$2:$X$333,2,0)</f>
        <v>Do clients have the option to not participate in or postpone an upgrade to a new release?</v>
      </c>
      <c r="C44" s="21"/>
      <c r="D44" s="320"/>
      <c r="E44" s="167" t="str">
        <f>IF($C44='Auto Responses'!$J$3,VLOOKUP($A44,Questions!$A$2:$X$333,17,0)&amp;"",IF($C44='Auto Responses'!$J$4,VLOOKUP($A44,Questions!$A$2:$X$333,16,0)&amp;"",IF($C44='Auto Responses'!$J$5,VLOOKUP($A44,Questions!$A$2:$X$333,18,0)&amp;"",VLOOKUP($A44,Questions!$A$2:$X$333,15,0)&amp;"")))</f>
        <v/>
      </c>
      <c r="F44" s="201" t="str">
        <f>VLOOKUP($A44,'Institution Evaluation'!$A$56:$F$345,6,0)&amp;""</f>
        <v/>
      </c>
      <c r="I44" s="35"/>
      <c r="J44" s="35"/>
    </row>
    <row r="45" spans="1:10" s="1" customFormat="1" ht="64.5" customHeight="1" x14ac:dyDescent="0.2">
      <c r="A45" s="19" t="s">
        <v>302</v>
      </c>
      <c r="B45" s="18" t="str">
        <f>VLOOKUP($A45,Questions!$A$2:$X$333,2,0)</f>
        <v>Do you have a fully implemented solution support strategy that defines how many concurrent versions you support?</v>
      </c>
      <c r="C45" s="21"/>
      <c r="D45" s="320"/>
      <c r="E45" s="167" t="str">
        <f>IF($C45='Auto Responses'!$J$3,VLOOKUP($A45,Questions!$A$2:$X$333,17,0)&amp;"",IF($C45='Auto Responses'!$J$4,VLOOKUP($A45,Questions!$A$2:$X$333,16,0)&amp;"",IF($C45='Auto Responses'!$J$5,VLOOKUP($A45,Questions!$A$2:$X$333,18,0)&amp;"",VLOOKUP($A45,Questions!$A$2:$X$333,15,0)&amp;"")))</f>
        <v>List the current version you support and what percentage of customers are utilizing that version.</v>
      </c>
      <c r="F45" s="201" t="str">
        <f>VLOOKUP($A45,'Institution Evaluation'!$A$56:$F$345,6,0)&amp;""</f>
        <v/>
      </c>
      <c r="I45" s="35"/>
      <c r="J45" s="35"/>
    </row>
    <row r="46" spans="1:10" s="1" customFormat="1" ht="49.5" customHeight="1" x14ac:dyDescent="0.2">
      <c r="A46" s="19" t="s">
        <v>304</v>
      </c>
      <c r="B46" s="18" t="str">
        <f>VLOOKUP($A46,Questions!$A$2:$X$333,2,0)</f>
        <v>Do you have a release schedule for product updates?</v>
      </c>
      <c r="C46" s="21"/>
      <c r="D46" s="320"/>
      <c r="E46" s="167" t="str">
        <f>IF($C46='Auto Responses'!$J$3,VLOOKUP($A46,Questions!$A$2:$X$333,17,0)&amp;"",IF($C46='Auto Responses'!$J$4,VLOOKUP($A46,Questions!$A$2:$X$333,16,0)&amp;"",IF($C46='Auto Responses'!$J$5,VLOOKUP($A46,Questions!$A$2:$X$333,18,0)&amp;"",VLOOKUP($A46,Questions!$A$2:$X$333,15,0)&amp;"")))</f>
        <v/>
      </c>
      <c r="F46" s="201" t="str">
        <f>VLOOKUP($A46,'Institution Evaluation'!$A$56:$F$345,6,0)&amp;""</f>
        <v/>
      </c>
      <c r="I46" s="35"/>
      <c r="J46" s="35"/>
    </row>
    <row r="47" spans="1:10" s="1" customFormat="1" ht="54" customHeight="1" x14ac:dyDescent="0.2">
      <c r="A47" s="19" t="s">
        <v>308</v>
      </c>
      <c r="B47" s="18" t="str">
        <f>VLOOKUP($A47,Questions!$A$2:$X$333,2,0)</f>
        <v>Do you have a technology roadmap, for at least the next two years, for enhancements and bug fixes for the solution being assessed?</v>
      </c>
      <c r="C47" s="21"/>
      <c r="D47" s="320"/>
      <c r="E47" s="167" t="str">
        <f>IF($C47='Auto Responses'!$J$3,VLOOKUP($A47,Questions!$A$2:$X$333,17,0)&amp;"",IF($C47='Auto Responses'!$J$4,VLOOKUP($A47,Questions!$A$2:$X$333,16,0)&amp;"",IF($C47='Auto Responses'!$J$5,VLOOKUP($A47,Questions!$A$2:$X$333,18,0)&amp;"",VLOOKUP($A47,Questions!$A$2:$X$333,15,0)&amp;"")))</f>
        <v/>
      </c>
      <c r="F47" s="201" t="str">
        <f>VLOOKUP($A47,'Institution Evaluation'!$A$56:$F$345,6,0)&amp;""</f>
        <v/>
      </c>
      <c r="I47" s="35"/>
      <c r="J47" s="35"/>
    </row>
    <row r="48" spans="1:10" s="1" customFormat="1" ht="38.25" customHeight="1" x14ac:dyDescent="0.2">
      <c r="A48" s="19" t="s">
        <v>311</v>
      </c>
      <c r="B48" s="18" t="str">
        <f>VLOOKUP($A48,Questions!$A$2:$X$333,2,0)</f>
        <v>Can solution updates be completed without institutional involvement (i.e., technically or organizationally)?</v>
      </c>
      <c r="C48" s="21"/>
      <c r="D48" s="320"/>
      <c r="E48" s="167" t="str">
        <f>IF($C48='Auto Responses'!$J$3,VLOOKUP($A48,Questions!$A$2:$X$333,17,0)&amp;"",IF($C48='Auto Responses'!$J$4,VLOOKUP($A48,Questions!$A$2:$X$333,16,0)&amp;"",VLOOKUP($A48,Questions!$A$2:$X$333,15,0)&amp;""))</f>
        <v/>
      </c>
      <c r="F48" s="201" t="str">
        <f>VLOOKUP($A48,'Institution Evaluation'!$A$56:$F$345,6,0)&amp;""</f>
        <v/>
      </c>
      <c r="I48" s="35"/>
      <c r="J48" s="35"/>
    </row>
    <row r="49" spans="1:10" s="1" customFormat="1" ht="38.25" customHeight="1" x14ac:dyDescent="0.2">
      <c r="A49" s="19" t="s">
        <v>315</v>
      </c>
      <c r="B49" s="18" t="str">
        <f>VLOOKUP($A49,Questions!$A$2:$X$333,2,0)</f>
        <v>Are upgrades or system changes installed during off-peak hours or in a manner that does not impact the customer?</v>
      </c>
      <c r="C49" s="21"/>
      <c r="D49" s="320"/>
      <c r="E49" s="167" t="str">
        <f>IF($C49='Auto Responses'!$J$3,VLOOKUP($A49,Questions!$A$2:$X$333,17,0)&amp;"",IF($C49='Auto Responses'!$J$4,VLOOKUP($A49,Questions!$A$2:$X$333,16,0)&amp;"",VLOOKUP($A49,Questions!$A$2:$X$333,15,0)&amp;""))</f>
        <v/>
      </c>
      <c r="F49" s="201" t="str">
        <f>VLOOKUP($A49,'Institution Evaluation'!$A$56:$F$345,6,0)&amp;""</f>
        <v/>
      </c>
      <c r="I49" s="35"/>
      <c r="J49" s="35"/>
    </row>
    <row r="50" spans="1:10" s="1" customFormat="1" ht="38.25" customHeight="1" x14ac:dyDescent="0.2">
      <c r="A50" s="19" t="s">
        <v>319</v>
      </c>
      <c r="B50" s="18" t="str">
        <f>VLOOKUP($A50,Questions!$A$2:$X$333,2,0)</f>
        <v>Do procedures exist to provide that emergency changes are documented and authorized (including after-the-fact approval)?</v>
      </c>
      <c r="C50" s="21"/>
      <c r="D50" s="320"/>
      <c r="E50" s="167" t="str">
        <f>IF($C50='Auto Responses'!$J$3,VLOOKUP($A50,Questions!$A$2:$X$333,17,0)&amp;"",IF($C50='Auto Responses'!$J$4,VLOOKUP($A50,Questions!$A$2:$X$333,16,0)&amp;"",VLOOKUP($A50,Questions!$A$2:$X$333,15,0)&amp;""))</f>
        <v/>
      </c>
      <c r="F50" s="201" t="str">
        <f>VLOOKUP($A50,'Institution Evaluation'!$A$56:$F$345,6,0)&amp;""</f>
        <v/>
      </c>
      <c r="I50" s="35"/>
      <c r="J50" s="35"/>
    </row>
    <row r="51" spans="1:10" s="1" customFormat="1" ht="48" customHeight="1" thickBot="1" x14ac:dyDescent="0.25">
      <c r="A51" s="19" t="s">
        <v>321</v>
      </c>
      <c r="B51" s="18" t="str">
        <f>VLOOKUP($A51,Questions!$A$2:$X$333,2,0)</f>
        <v>Do you have a systems management and configuration strategy that encompasses servers, appliances, cloud services, applications, and mobile devices (company and employee owned)?</v>
      </c>
      <c r="C51" s="21"/>
      <c r="D51" s="320"/>
      <c r="E51" s="167" t="str">
        <f>IF($C51='Auto Responses'!$J$3,VLOOKUP($A51,Questions!$A$2:$X$333,17,0)&amp;"",IF($C51='Auto Responses'!$J$4,VLOOKUP($A51,Questions!$A$2:$X$333,16,0)&amp;"",VLOOKUP($A51,Questions!$A$2:$X$333,15,0)&amp;""))</f>
        <v/>
      </c>
      <c r="F51" s="201" t="str">
        <f>VLOOKUP($A51,'Institution Evaluation'!$A$56:$F$345,6,0)&amp;""</f>
        <v/>
      </c>
      <c r="G51" s="238" t="s">
        <v>1449</v>
      </c>
      <c r="I51" s="35"/>
      <c r="J51" s="35"/>
    </row>
    <row r="52" spans="1:10" s="1" customFormat="1" ht="37.35" customHeight="1" thickBot="1" x14ac:dyDescent="0.25">
      <c r="A52" s="63" t="str">
        <f>VLOOKUP(LEFT($A53,4),'Auto Responses'!$N$4:$O$38,2,0)&amp;""</f>
        <v xml:space="preserve"> Policies, Processes, and Procedures</v>
      </c>
      <c r="B52" s="22"/>
      <c r="C52" s="13" t="s">
        <v>1497</v>
      </c>
      <c r="D52" s="13" t="s">
        <v>72</v>
      </c>
      <c r="E52" s="31" t="s">
        <v>848</v>
      </c>
      <c r="F52" s="187" t="s">
        <v>849</v>
      </c>
      <c r="I52" s="35"/>
      <c r="J52" s="35"/>
    </row>
    <row r="53" spans="1:10" s="1" customFormat="1" ht="38.25" customHeight="1" x14ac:dyDescent="0.2">
      <c r="A53" s="19" t="s">
        <v>503</v>
      </c>
      <c r="B53" s="18" t="str">
        <f>VLOOKUP($A53,Questions!$A$2:$X$333,2,0)</f>
        <v>Do you have a documented patch management process?*</v>
      </c>
      <c r="C53" s="21"/>
      <c r="D53" s="320"/>
      <c r="E53" s="167" t="str">
        <f>IF($C53='Auto Responses'!$J$3,VLOOKUP($A53,Questions!$A$2:$X$333,17,0)&amp;"",IF($C53='Auto Responses'!$J$4,VLOOKUP($A53,Questions!$A$2:$X$333,16,0)&amp;"",VLOOKUP($A53,Questions!$A$2:$X$333,15,0)&amp;""))</f>
        <v/>
      </c>
      <c r="F53" s="201" t="str">
        <f>VLOOKUP($A53,'Institution Evaluation'!$A$56:$F$345,6,0)&amp;""</f>
        <v/>
      </c>
      <c r="I53" s="35"/>
      <c r="J53" s="35"/>
    </row>
    <row r="54" spans="1:10" s="1" customFormat="1" ht="56.25" customHeight="1" x14ac:dyDescent="0.2">
      <c r="A54" s="19" t="s">
        <v>504</v>
      </c>
      <c r="B54" s="18" t="str">
        <f>VLOOKUP($A54,Questions!$A$2:$X$333,2,0)</f>
        <v>Can your organization comply with institutional policies on privacy and data protection with regard to users of institutional systems, if required?*</v>
      </c>
      <c r="C54" s="21"/>
      <c r="D54" s="320"/>
      <c r="E54" s="167" t="str">
        <f>IF($C54='Auto Responses'!$J$3,VLOOKUP($A54,Questions!$A$2:$X$333,17,0)&amp;"",IF($C54='Auto Responses'!$J$4,VLOOKUP($A54,Questions!$A$2:$X$333,16,0)&amp;"",VLOOKUP($A54,Questions!$A$2:$X$333,15,0)&amp;""))</f>
        <v/>
      </c>
      <c r="F54" s="201" t="str">
        <f>VLOOKUP($A54,'Institution Evaluation'!$A$56:$F$345,6,0)&amp;""</f>
        <v/>
      </c>
      <c r="I54" s="35"/>
      <c r="J54" s="35"/>
    </row>
    <row r="55" spans="1:10" s="1" customFormat="1" ht="38.25" customHeight="1" x14ac:dyDescent="0.2">
      <c r="A55" s="19" t="s">
        <v>506</v>
      </c>
      <c r="B55" s="18" t="str">
        <f>VLOOKUP($A55,Questions!$A$2:$X$333,2,0)</f>
        <v>Is your company subject to the institution's geographic region's laws and regulations?*</v>
      </c>
      <c r="C55" s="21"/>
      <c r="D55" s="320"/>
      <c r="E55" s="167" t="str">
        <f>IF($C55='Auto Responses'!$J$3,VLOOKUP($A55,Questions!$A$2:$X$333,17,0)&amp;"",IF($C55='Auto Responses'!$J$4,VLOOKUP($A55,Questions!$A$2:$X$333,16,0)&amp;"",VLOOKUP($A55,Questions!$A$2:$X$333,15,0)&amp;""))</f>
        <v>State the country that governs and regulates your company.</v>
      </c>
      <c r="F55" s="201" t="str">
        <f>VLOOKUP($A55,'Institution Evaluation'!$A$56:$F$345,6,0)&amp;""</f>
        <v/>
      </c>
      <c r="I55" s="35"/>
      <c r="J55" s="35"/>
    </row>
    <row r="56" spans="1:10" s="1" customFormat="1" ht="38.25" customHeight="1" x14ac:dyDescent="0.2">
      <c r="A56" s="19" t="s">
        <v>510</v>
      </c>
      <c r="B56" s="18" t="str">
        <f>VLOOKUP($A56,Questions!$A$2:$X$333,2,0)</f>
        <v>Can you accommodate encryption requirements using open standards?</v>
      </c>
      <c r="C56" s="21"/>
      <c r="D56" s="320"/>
      <c r="E56" s="167" t="str">
        <f>IF($C56='Auto Responses'!$J$3,VLOOKUP($A56,Questions!$A$2:$X$333,17,0)&amp;"",IF($C56='Auto Responses'!$J$4,VLOOKUP($A56,Questions!$A$2:$X$333,16,0)&amp;"",VLOOKUP($A56,Questions!$A$2:$X$333,15,0)&amp;""))</f>
        <v/>
      </c>
      <c r="F56" s="201" t="str">
        <f>VLOOKUP($A56,'Institution Evaluation'!$A$56:$F$345,6,0)&amp;""</f>
        <v/>
      </c>
      <c r="I56" s="35"/>
      <c r="J56" s="35"/>
    </row>
    <row r="57" spans="1:10" s="1" customFormat="1" ht="36" customHeight="1" x14ac:dyDescent="0.2">
      <c r="A57" s="19" t="s">
        <v>514</v>
      </c>
      <c r="B57" s="18" t="str">
        <f>VLOOKUP($A57,Questions!$A$2:$X$333,2,0)</f>
        <v>Do you have a documented systems development life cycle (SDLC)?</v>
      </c>
      <c r="C57" s="21"/>
      <c r="D57" s="320"/>
      <c r="E57" s="167" t="str">
        <f>IF($C57='Auto Responses'!$J$3,VLOOKUP($A57,Questions!$A$2:$X$333,17,0)&amp;"",IF($C57='Auto Responses'!$J$4,VLOOKUP($A57,Questions!$A$2:$X$333,16,0)&amp;"",VLOOKUP($A57,Questions!$A$2:$X$333,15,0)&amp;""))</f>
        <v/>
      </c>
      <c r="F57" s="201" t="str">
        <f>VLOOKUP($A57,'Institution Evaluation'!$A$56:$F$345,6,0)&amp;""</f>
        <v/>
      </c>
      <c r="I57" s="35"/>
      <c r="J57" s="35"/>
    </row>
    <row r="58" spans="1:10" s="1" customFormat="1" ht="28.5" x14ac:dyDescent="0.2">
      <c r="A58" s="19" t="s">
        <v>517</v>
      </c>
      <c r="B58" s="18" t="str">
        <f>VLOOKUP($A58,Questions!$A$2:$X$333,2,0)</f>
        <v>Do you perform background screenings or multi-state background checks on all employees prior to their first day of work?</v>
      </c>
      <c r="C58" s="21"/>
      <c r="D58" s="320"/>
      <c r="E58" s="167" t="str">
        <f>IF($C58='Auto Responses'!$J$3,VLOOKUP($A58,Questions!$A$2:$X$333,17,0)&amp;"",IF($C58='Auto Responses'!$J$4,VLOOKUP($A58,Questions!$A$2:$X$333,16,0)&amp;"",VLOOKUP($A58,Questions!$A$2:$X$333,15,0)&amp;""))</f>
        <v/>
      </c>
      <c r="F58" s="201" t="str">
        <f>VLOOKUP($A58,'Institution Evaluation'!$A$56:$F$345,6,0)&amp;""</f>
        <v/>
      </c>
      <c r="I58" s="35"/>
      <c r="J58" s="35"/>
    </row>
    <row r="59" spans="1:10" s="1" customFormat="1" ht="47.25" customHeight="1" x14ac:dyDescent="0.2">
      <c r="A59" s="19" t="s">
        <v>520</v>
      </c>
      <c r="B59" s="18" t="str">
        <f>VLOOKUP($A59,Questions!$A$2:$X$333,2,0)</f>
        <v>Do you require new employees to fill out agreements and review policies?</v>
      </c>
      <c r="C59" s="21"/>
      <c r="D59" s="320"/>
      <c r="E59" s="167" t="str">
        <f>IF($C59='Auto Responses'!$J$3,VLOOKUP($A59,Questions!$A$2:$X$333,17,0)&amp;"",IF($C59='Auto Responses'!$J$4,VLOOKUP($A59,Questions!$A$2:$X$333,16,0)&amp;"",VLOOKUP($A59,Questions!$A$2:$X$333,15,0)&amp;""))</f>
        <v/>
      </c>
      <c r="F59" s="201" t="str">
        <f>VLOOKUP($A59,'Institution Evaluation'!$A$56:$F$345,6,0)&amp;""</f>
        <v/>
      </c>
      <c r="I59" s="35"/>
      <c r="J59" s="35"/>
    </row>
    <row r="60" spans="1:10" s="1" customFormat="1" ht="46.5" customHeight="1" x14ac:dyDescent="0.2">
      <c r="A60" s="19" t="s">
        <v>522</v>
      </c>
      <c r="B60" s="18" t="str">
        <f>VLOOKUP($A60,Questions!$A$2:$X$333,2,0)</f>
        <v>Do you have a documented information security policy?</v>
      </c>
      <c r="C60" s="21"/>
      <c r="D60" s="320"/>
      <c r="E60" s="167" t="str">
        <f>IF($C60='Auto Responses'!$J$3,VLOOKUP($A60,Questions!$A$2:$X$333,17,0)&amp;"",IF($C60='Auto Responses'!$J$4,VLOOKUP($A60,Questions!$A$2:$X$333,16,0)&amp;"",VLOOKUP($A60,Questions!$A$2:$X$333,15,0)&amp;""))</f>
        <v/>
      </c>
      <c r="F60" s="201" t="str">
        <f>VLOOKUP($A60,'Institution Evaluation'!$A$56:$F$345,6,0)&amp;""</f>
        <v/>
      </c>
      <c r="I60" s="35"/>
      <c r="J60" s="35"/>
    </row>
    <row r="61" spans="1:10" s="1" customFormat="1" ht="48" customHeight="1" x14ac:dyDescent="0.2">
      <c r="A61" s="19" t="s">
        <v>526</v>
      </c>
      <c r="B61" s="18" t="str">
        <f>VLOOKUP($A61,Questions!$A$2:$X$333,2,0)</f>
        <v>Are information security principles designed into the product lifecycle?</v>
      </c>
      <c r="C61" s="21"/>
      <c r="D61" s="320"/>
      <c r="E61" s="167" t="str">
        <f>IF($C61='Auto Responses'!$J$3,VLOOKUP($A61,Questions!$A$2:$X$333,17,0)&amp;"",IF($C61='Auto Responses'!$J$4,VLOOKUP($A61,Questions!$A$2:$X$333,16,0)&amp;"",VLOOKUP($A61,Questions!$A$2:$X$333,15,0)&amp;""))</f>
        <v/>
      </c>
      <c r="F61" s="201" t="str">
        <f>VLOOKUP($A61,'Institution Evaluation'!$A$56:$F$345,6,0)&amp;""</f>
        <v/>
      </c>
      <c r="I61" s="35"/>
      <c r="J61" s="35"/>
    </row>
    <row r="62" spans="1:10" s="1" customFormat="1" ht="28.5" customHeight="1" x14ac:dyDescent="0.2">
      <c r="A62" s="19" t="s">
        <v>531</v>
      </c>
      <c r="B62" s="18" t="str">
        <f>VLOOKUP($A62,Questions!$A$2:$X$333,2,0)</f>
        <v>Will you comply with applicable breach notification laws?</v>
      </c>
      <c r="C62" s="21"/>
      <c r="D62" s="320"/>
      <c r="E62" s="167" t="str">
        <f>IF($C62='Auto Responses'!$J$3,VLOOKUP($A62,Questions!$A$2:$X$333,17,0)&amp;"",IF($C62='Auto Responses'!$J$4,VLOOKUP($A62,Questions!$A$2:$X$333,16,0)&amp;"",VLOOKUP($A62,Questions!$A$2:$X$333,15,0)&amp;""))</f>
        <v/>
      </c>
      <c r="F62" s="201" t="str">
        <f>VLOOKUP($A62,'Institution Evaluation'!$A$56:$F$345,6,0)&amp;""</f>
        <v/>
      </c>
      <c r="I62" s="35"/>
      <c r="J62" s="35"/>
    </row>
    <row r="63" spans="1:10" s="1" customFormat="1" ht="28.5" customHeight="1" x14ac:dyDescent="0.2">
      <c r="A63" s="19" t="s">
        <v>535</v>
      </c>
      <c r="B63" s="18" t="str">
        <f>VLOOKUP($A63,Questions!$A$2:$X$333,2,0)</f>
        <v>Do you have an information security awareness program?</v>
      </c>
      <c r="C63" s="21"/>
      <c r="D63" s="320"/>
      <c r="E63" s="167" t="str">
        <f>IF($C63='Auto Responses'!$J$3,VLOOKUP($A63,Questions!$A$2:$X$333,17,0)&amp;"",IF($C63='Auto Responses'!$J$4,VLOOKUP($A63,Questions!$A$2:$X$333,16,0)&amp;"",VLOOKUP($A63,Questions!$A$2:$X$333,15,0)&amp;""))</f>
        <v/>
      </c>
      <c r="F63" s="201" t="str">
        <f>VLOOKUP($A63,'Institution Evaluation'!$A$56:$F$345,6,0)&amp;""</f>
        <v/>
      </c>
      <c r="I63" s="35"/>
      <c r="J63" s="35"/>
    </row>
    <row r="64" spans="1:10" s="1" customFormat="1" ht="28.5" customHeight="1" x14ac:dyDescent="0.2">
      <c r="A64" s="19" t="s">
        <v>540</v>
      </c>
      <c r="B64" s="18" t="str">
        <f>VLOOKUP($A64,Questions!$A$2:$X$333,2,0)</f>
        <v>Is security awareness training mandatory for all employees?</v>
      </c>
      <c r="C64" s="21"/>
      <c r="D64" s="320"/>
      <c r="E64" s="167" t="str">
        <f>IF($C64='Auto Responses'!$J$3,VLOOKUP($A64,Questions!$A$2:$X$333,17,0)&amp;"",IF($C64='Auto Responses'!$J$4,VLOOKUP($A64,Questions!$A$2:$X$333,16,0)&amp;"",VLOOKUP($A64,Questions!$A$2:$X$333,15,0)&amp;""))</f>
        <v/>
      </c>
      <c r="F64" s="201" t="str">
        <f>VLOOKUP($A64,'Institution Evaluation'!$A$56:$F$345,6,0)&amp;""</f>
        <v/>
      </c>
      <c r="I64" s="35"/>
      <c r="J64" s="35"/>
    </row>
    <row r="65" spans="1:10" s="1" customFormat="1" ht="54" customHeight="1" x14ac:dyDescent="0.2">
      <c r="A65" s="19" t="s">
        <v>544</v>
      </c>
      <c r="B65" s="18" t="str">
        <f>VLOOKUP($A65,Questions!$A$2:$X$333,2,0)</f>
        <v>Do you have process and procedure(s) documented, and currently followed, that require a review and update of the access list(s) for privileged accounts?</v>
      </c>
      <c r="C65" s="21"/>
      <c r="D65" s="320"/>
      <c r="E65" s="167" t="str">
        <f>IF($C65='Auto Responses'!$J$3,VLOOKUP($A65,Questions!$A$2:$X$333,17,0)&amp;"",IF($C65='Auto Responses'!$J$4,VLOOKUP($A65,Questions!$A$2:$X$333,16,0)&amp;"",VLOOKUP($A65,Questions!$A$2:$X$333,15,0)&amp;""))</f>
        <v/>
      </c>
      <c r="F65" s="201" t="str">
        <f>VLOOKUP($A65,'Institution Evaluation'!$A$56:$F$345,6,0)&amp;""</f>
        <v/>
      </c>
      <c r="I65" s="35"/>
      <c r="J65" s="35"/>
    </row>
    <row r="66" spans="1:10" s="1" customFormat="1" ht="34.5" customHeight="1" x14ac:dyDescent="0.2">
      <c r="A66" s="19" t="s">
        <v>548</v>
      </c>
      <c r="B66" s="18" t="str">
        <f>VLOOKUP($A66,Questions!$A$2:$X$333,2,0)</f>
        <v>Do you have documented, and currently implemented, internal audit processes and procedures?</v>
      </c>
      <c r="C66" s="21"/>
      <c r="D66" s="320"/>
      <c r="E66" s="167" t="str">
        <f>IF($C66='Auto Responses'!$J$3,VLOOKUP($A66,Questions!$A$2:$X$333,17,0)&amp;"",IF($C66='Auto Responses'!$J$4,VLOOKUP($A66,Questions!$A$2:$X$333,16,0)&amp;"",VLOOKUP($A66,Questions!$A$2:$X$333,15,0)&amp;""))</f>
        <v/>
      </c>
      <c r="F66" s="201" t="str">
        <f>VLOOKUP($A66,'Institution Evaluation'!$A$56:$F$345,6,0)&amp;""</f>
        <v/>
      </c>
      <c r="I66" s="35"/>
      <c r="J66" s="35"/>
    </row>
    <row r="67" spans="1:10" s="1" customFormat="1" ht="39" customHeight="1" x14ac:dyDescent="0.2">
      <c r="A67" s="19" t="s">
        <v>553</v>
      </c>
      <c r="B67" s="18" t="str">
        <f>VLOOKUP($A67,Questions!$A$2:$X$333,2,0)</f>
        <v>Does your organization have physical security controls and policies in place?</v>
      </c>
      <c r="C67" s="21"/>
      <c r="D67" s="320"/>
      <c r="E67" s="167" t="str">
        <f>IF($C67='Auto Responses'!$J$3,VLOOKUP($A67,Questions!$A$2:$X$333,17,0)&amp;"",IF($C67='Auto Responses'!$J$4,VLOOKUP($A67,Questions!$A$2:$X$333,16,0)&amp;"",IF($C67='Auto Responses'!$J$5,VLOOKUP($A67,Questions!$A$2:$X$333,18,0)&amp;"",VLOOKUP($A67,Questions!$A$2:$X$333,15,0)&amp;"")))</f>
        <v/>
      </c>
      <c r="F67" s="201" t="str">
        <f>VLOOKUP($A67,'Institution Evaluation'!$A$56:$F$345,6,0)&amp;""</f>
        <v/>
      </c>
      <c r="G67" s="238" t="s">
        <v>1449</v>
      </c>
      <c r="H67" s="35"/>
    </row>
    <row r="68" spans="1:10" s="171" customFormat="1" ht="39" customHeight="1" x14ac:dyDescent="0.2">
      <c r="A68" s="267" t="s">
        <v>1507</v>
      </c>
      <c r="B68" s="253"/>
      <c r="C68" s="254"/>
      <c r="D68" s="321"/>
      <c r="E68" s="256"/>
      <c r="F68" s="257"/>
      <c r="G68" s="258"/>
      <c r="H68" s="172"/>
    </row>
    <row r="69" spans="1:10" s="1" customFormat="1" ht="15" customHeight="1" x14ac:dyDescent="0.2">
      <c r="A69" s="266"/>
      <c r="C69" s="8"/>
      <c r="D69" s="9"/>
      <c r="E69" s="10"/>
      <c r="I69" s="35"/>
      <c r="J69" s="35"/>
    </row>
    <row r="70" spans="1:10" s="1" customFormat="1" ht="15" hidden="1" customHeight="1" x14ac:dyDescent="0.2">
      <c r="A70"/>
      <c r="C70" s="8"/>
      <c r="D70" s="9"/>
      <c r="E70" s="10"/>
      <c r="I70" s="35"/>
      <c r="J70" s="35"/>
    </row>
    <row r="71" spans="1:10" ht="57" hidden="1" customHeight="1" x14ac:dyDescent="0.2">
      <c r="A71" s="19" t="e">
        <f>#REF!</f>
        <v>#REF!</v>
      </c>
    </row>
    <row r="72" spans="1:10" ht="42.75" hidden="1" customHeight="1" x14ac:dyDescent="0.2">
      <c r="A72" s="19" t="e">
        <f>#REF!</f>
        <v>#REF!</v>
      </c>
    </row>
    <row r="73" spans="1:10" ht="15" hidden="1" customHeight="1" x14ac:dyDescent="0.2">
      <c r="A73" s="19" t="e">
        <f>#REF!</f>
        <v>#REF!</v>
      </c>
    </row>
    <row r="74" spans="1:10" ht="15" hidden="1" customHeight="1" x14ac:dyDescent="0.2">
      <c r="A74" s="19" t="e">
        <f>#REF!</f>
        <v>#REF!</v>
      </c>
    </row>
    <row r="75" spans="1:10" ht="15" hidden="1" customHeight="1" x14ac:dyDescent="0.2">
      <c r="A75" s="19" t="e">
        <f>#REF!</f>
        <v>#REF!</v>
      </c>
    </row>
    <row r="76" spans="1:10" ht="15" hidden="1" customHeight="1" x14ac:dyDescent="0.2">
      <c r="A76" s="19" t="e">
        <f>#REF!</f>
        <v>#REF!</v>
      </c>
    </row>
    <row r="77" spans="1:10" ht="15" hidden="1" customHeight="1" x14ac:dyDescent="0.2">
      <c r="A77" s="19" t="e">
        <f>#REF!</f>
        <v>#REF!</v>
      </c>
    </row>
    <row r="78" spans="1:10" ht="15" hidden="1" customHeight="1" x14ac:dyDescent="0.2"/>
    <row r="79" spans="1:10" ht="15" hidden="1" customHeight="1" x14ac:dyDescent="0.2"/>
    <row r="80" spans="1:1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row r="95" ht="15" hidden="1" customHeight="1" x14ac:dyDescent="0.2"/>
    <row r="96"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row r="110" ht="15" hidden="1" customHeight="1" x14ac:dyDescent="0.2"/>
    <row r="111" ht="15" hidden="1" customHeight="1" x14ac:dyDescent="0.2"/>
    <row r="112" ht="15" hidden="1" customHeight="1" x14ac:dyDescent="0.2"/>
  </sheetData>
  <phoneticPr fontId="31" type="noConversion"/>
  <dataValidations count="2">
    <dataValidation allowBlank="1" showInputMessage="1" showErrorMessage="1" promptTitle="Warning!" prompt="The HECVAT is built using a number of complex formulas. Editing this cell can break the functionality of the tool. " sqref="C2:F2 C52:D52 A3:A68 C21 D21:D29 C5:F12 D3:F3 B2:B68 C29 C35:D35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C68 C36 C34 C22:C28 C53:C66 C39:C43 C48:C51</xm:sqref>
        </x14:dataValidation>
        <x14:dataValidation type="list" allowBlank="1" showInputMessage="1" showErrorMessage="1" xr:uid="{12770314-EF29-47D1-BA99-D96AA2142FEA}">
          <x14:formula1>
            <xm:f>'Auto Responses'!$J$3:$J$5</xm:f>
          </x14:formula1>
          <xm:sqref>C30:C33 C37:C38 C67 C44:C47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5" hidden="1" customWidth="1"/>
    <col min="11" max="11" width="4.5" style="1" hidden="1" customWidth="1"/>
    <col min="12" max="12" width="6.59765625" style="1" hidden="1" customWidth="1"/>
    <col min="13" max="16384" width="6.59765625" hidden="1"/>
  </cols>
  <sheetData>
    <row r="1" spans="1:10" ht="0" hidden="1" customHeight="1" x14ac:dyDescent="0.2">
      <c r="A1" t="s">
        <v>1448</v>
      </c>
    </row>
    <row r="2" spans="1:10" ht="36" customHeight="1" x14ac:dyDescent="0.2">
      <c r="A2" s="168" t="s">
        <v>1376</v>
      </c>
      <c r="B2" s="168"/>
      <c r="C2" s="169"/>
      <c r="D2" s="308"/>
      <c r="E2" s="170"/>
      <c r="F2" s="170" t="str">
        <f>'Auto Responses'!$A$36</f>
        <v>Version 4.1.5</v>
      </c>
      <c r="J2" s="1"/>
    </row>
    <row r="3" spans="1:10" s="1" customFormat="1" ht="29.1" customHeight="1" x14ac:dyDescent="0.2">
      <c r="A3" s="37" t="s">
        <v>940</v>
      </c>
      <c r="B3" s="38"/>
      <c r="C3" s="66">
        <f>'START HERE'!$C$3</f>
        <v>0</v>
      </c>
      <c r="D3" s="309"/>
      <c r="E3" s="36"/>
      <c r="F3" s="50"/>
      <c r="I3" s="35"/>
    </row>
    <row r="4" spans="1:10" s="1" customFormat="1" ht="36" customHeight="1" x14ac:dyDescent="0.2">
      <c r="A4" s="11" t="s">
        <v>865</v>
      </c>
      <c r="B4" s="12"/>
      <c r="C4" s="13"/>
      <c r="D4" s="14"/>
      <c r="E4" s="15"/>
      <c r="F4" s="15"/>
      <c r="I4" s="35"/>
    </row>
    <row r="5" spans="1:10" s="1" customFormat="1" ht="19.5" customHeight="1" x14ac:dyDescent="0.2">
      <c r="A5" s="42" t="str">
        <f>HLOOKUP($A$4,'Auto Responses'!$D$2:$D$8,2,0)&amp;""</f>
        <v>1. Complete the "Start Here" tab and review the "Required Questions" guidance to find the other sections are required for your product or service.</v>
      </c>
      <c r="B5" s="16"/>
      <c r="C5" s="67"/>
      <c r="D5" s="310"/>
      <c r="E5" s="16"/>
      <c r="F5" s="16"/>
      <c r="I5" s="35"/>
    </row>
    <row r="6" spans="1:10" s="1" customFormat="1" ht="19.5" customHeight="1" x14ac:dyDescent="0.2">
      <c r="A6" s="42" t="str">
        <f>HLOOKUP($A$4,'Auto Responses'!$D$2:$D$8,3,0)&amp;""</f>
        <v>2. Complete the "Organization" tab and the applicable questions in each of the next 5 tabs (Product through Privacy) that apply, based on your answers to the "Required Questions."</v>
      </c>
      <c r="B6" s="16"/>
      <c r="C6" s="67"/>
      <c r="D6" s="310"/>
      <c r="E6" s="16"/>
      <c r="F6" s="16"/>
      <c r="I6" s="35"/>
    </row>
    <row r="7" spans="1:10" s="1" customFormat="1" ht="19.5" customHeight="1" x14ac:dyDescent="0.2">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16"/>
      <c r="I7" s="35"/>
    </row>
    <row r="8" spans="1:10" s="1" customFormat="1" ht="19.5" customHeight="1" x14ac:dyDescent="0.2">
      <c r="A8" s="42" t="str">
        <f>HLOOKUP($A$4,'Auto Responses'!$D$2:$D$8,5,0)&amp;""</f>
        <v>4. DO NOT complete any fields in the "Evaluation" sheets or the "Analyst Notes" column.</v>
      </c>
      <c r="B8" s="16"/>
      <c r="C8" s="67"/>
      <c r="D8" s="310"/>
      <c r="E8" s="16"/>
      <c r="F8" s="16"/>
      <c r="I8" s="35"/>
    </row>
    <row r="9" spans="1:10" s="1" customFormat="1" ht="19.5" customHeight="1" x14ac:dyDescent="0.2">
      <c r="A9" s="42" t="str">
        <f>HLOOKUP($A$4,'Auto Responses'!$D$2:$D$8,6,0)&amp;""</f>
        <v>5. Return the completed file to institutions.</v>
      </c>
      <c r="B9" s="16"/>
      <c r="C9" s="67"/>
      <c r="D9" s="310"/>
      <c r="E9" s="16"/>
      <c r="F9" s="16"/>
      <c r="I9" s="35"/>
    </row>
    <row r="10" spans="1:10" s="1" customFormat="1" ht="19.5" customHeight="1" x14ac:dyDescent="0.2">
      <c r="A10" s="247" t="str">
        <f>HLOOKUP($A$4,'Auto Responses'!$D$2:$D$8,7,0)&amp;""</f>
        <v>* Denotes critical questions. Critical questions are those deemed most important to institutions by higher education volunteers.</v>
      </c>
      <c r="B10" s="16"/>
      <c r="C10" s="67"/>
      <c r="D10" s="310"/>
      <c r="E10" s="16"/>
      <c r="F10" s="16"/>
      <c r="I10" s="35"/>
    </row>
    <row r="11" spans="1:10" s="1" customFormat="1" ht="19.5" customHeight="1" x14ac:dyDescent="0.2">
      <c r="A11" s="246" t="str">
        <f>HLOOKUP($A$4,'Auto Responses'!$D$2:$D$9,8,0)&amp;""</f>
        <v>For full instructions, please visit educause.edu/HECVAT</v>
      </c>
      <c r="B11" s="16"/>
      <c r="C11" s="67"/>
      <c r="D11" s="310"/>
      <c r="E11" s="16"/>
      <c r="F11" s="16"/>
      <c r="I11" s="35"/>
    </row>
    <row r="12" spans="1:10" s="1" customFormat="1" ht="36" customHeight="1" x14ac:dyDescent="0.2">
      <c r="A12" s="63" t="str">
        <f>VLOOKUP(LEFT($A13,4),'Auto Responses'!$N$4:$O$38,2,0)&amp;""</f>
        <v xml:space="preserve"> General Information</v>
      </c>
      <c r="B12" s="12"/>
      <c r="C12" s="13" t="s">
        <v>1497</v>
      </c>
      <c r="D12" s="311"/>
      <c r="E12" s="17"/>
      <c r="F12" s="17"/>
      <c r="I12" s="35"/>
      <c r="J12" s="35"/>
    </row>
    <row r="13" spans="1:10" s="1" customFormat="1" ht="22.35" customHeight="1" x14ac:dyDescent="0.2">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
      <c r="A14" s="19" t="s">
        <v>24</v>
      </c>
      <c r="B14" s="20" t="str">
        <f>VLOOKUP($A14,Questions!$A$2:$X$333,2,0)&amp;""</f>
        <v>Solution Name</v>
      </c>
      <c r="C14" s="76" t="str">
        <f>VLOOKUP($A14,'START HERE'!$A$13:$C$21,3,0)&amp;""</f>
        <v/>
      </c>
      <c r="D14" s="32"/>
      <c r="E14" s="32"/>
      <c r="F14" s="50"/>
      <c r="I14" s="35"/>
      <c r="J14" s="35"/>
    </row>
    <row r="15" spans="1:10" s="1" customFormat="1" ht="22.35" customHeight="1" x14ac:dyDescent="0.2">
      <c r="A15" s="19" t="s">
        <v>25</v>
      </c>
      <c r="B15" s="20" t="str">
        <f>VLOOKUP($A15,Questions!$A$2:$X$333,2,0)&amp;""</f>
        <v>Solution Description</v>
      </c>
      <c r="C15" s="76" t="str">
        <f>VLOOKUP($A15,'START HERE'!$A$13:$C$21,3,0)&amp;""</f>
        <v/>
      </c>
      <c r="D15" s="32"/>
      <c r="E15" s="32"/>
      <c r="F15" s="50"/>
      <c r="I15" s="35"/>
      <c r="J15" s="35"/>
    </row>
    <row r="16" spans="1:10" s="1" customFormat="1" ht="22.35" customHeight="1" thickBot="1" x14ac:dyDescent="0.25">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25">
      <c r="A17" s="63" t="str">
        <f>VLOOKUP(LEFT($A18,4),'Auto Responses'!$N$4:$O$38,2,0)&amp;""</f>
        <v xml:space="preserve"> Required Questions</v>
      </c>
      <c r="B17" s="22"/>
      <c r="C17" s="13" t="s">
        <v>1497</v>
      </c>
      <c r="D17" s="13"/>
      <c r="E17" s="31" t="s">
        <v>848</v>
      </c>
      <c r="F17" s="187" t="s">
        <v>849</v>
      </c>
      <c r="I17" s="35"/>
      <c r="J17" s="35"/>
    </row>
    <row r="18" spans="1:10" s="1" customFormat="1" ht="43.5" thickBot="1" x14ac:dyDescent="0.25">
      <c r="A18" s="19" t="s">
        <v>48</v>
      </c>
      <c r="B18" s="18" t="str">
        <f>VLOOKUP($A18,Questions!$A$2:$X$333,2,0)</f>
        <v>Are you offering a cloud-based product?</v>
      </c>
      <c r="C18" s="72" t="str">
        <f>VLOOKUP($A18,'START HERE'!$A$23:$F$36,3,0)&amp;""</f>
        <v/>
      </c>
      <c r="D18" s="312" t="str">
        <f>VLOOKUP($A18,'START HERE'!$A$23:$F$36,4,0)&amp;""</f>
        <v/>
      </c>
      <c r="E18" s="167" t="str">
        <f>IF($C18='Auto Responses'!$J$3,VLOOKUP($A18,Questions!$A$2:$X$333,17,0)&amp;"",IF($C18='Auto Responses'!$J$4,VLOOKUP($A18,Questions!$A$2:$X$333,16,0)&amp;"",VLOOKUP($A18,Questions!$A$2:$X$333,15,0)&amp;""))</f>
        <v>If you are only offering a service, or are offering a product that is not cloud-based, answer "no".</v>
      </c>
      <c r="F18" s="201" t="str">
        <f>VLOOKUP($A18,'Institution Evaluation'!$A$56:$F$345,6,0)&amp;""</f>
        <v/>
      </c>
      <c r="G18" s="238" t="s">
        <v>1449</v>
      </c>
      <c r="I18" s="35"/>
      <c r="J18" s="35"/>
    </row>
    <row r="19" spans="1:10" s="1" customFormat="1" ht="37.35" customHeight="1" thickBot="1" x14ac:dyDescent="0.25">
      <c r="A19" s="63" t="str">
        <f>VLOOKUP(LEFT($A20,4),'Auto Responses'!$N$4:$O$38,2,0)&amp;""</f>
        <v xml:space="preserve"> Authentication, Authorization, and Account Management</v>
      </c>
      <c r="B19" s="22"/>
      <c r="C19" s="13" t="s">
        <v>1497</v>
      </c>
      <c r="D19" s="13" t="s">
        <v>72</v>
      </c>
      <c r="E19" s="31" t="s">
        <v>848</v>
      </c>
      <c r="F19" s="187" t="s">
        <v>849</v>
      </c>
      <c r="I19" s="35"/>
      <c r="J19" s="35"/>
    </row>
    <row r="20" spans="1:10" s="1" customFormat="1" ht="97.5" customHeight="1" x14ac:dyDescent="0.2">
      <c r="A20" s="19" t="s">
        <v>216</v>
      </c>
      <c r="B20" s="18" t="str">
        <f>VLOOKUP($A20,Questions!$A$2:$X$333,2,0)</f>
        <v>Does your solution support single sign-on (SSO) protocols for user and administrator authentication?*</v>
      </c>
      <c r="C20" s="21"/>
      <c r="D20" s="313"/>
      <c r="E20" s="167" t="str">
        <f>IF($C$18='Auto Responses'!$J$4,'Auto Responses'!$A$3,IF($C20='Auto Responses'!$J$3,VLOOKUP($A20,Questions!$A$2:$X$333,17,0)&amp;"",IF($C20='Auto Responses'!$J$4,VLOOKUP($A20,Questions!$A$2:$X$333,16,0)&amp;"",VLOOKUP($A20,Questions!$A$2:$X$333,15,0)&amp;"")))</f>
        <v>Answer "yes" only if user AND administrator authentication is supported. If partially supported, answer "no." Ensure you respond to any guidance in the Additional Information column.</v>
      </c>
      <c r="F20" s="201" t="str">
        <f>VLOOKUP($A20,'Institution Evaluation'!$A$56:$F$345,6,0)&amp;""</f>
        <v/>
      </c>
      <c r="I20" s="35"/>
      <c r="J20" s="35"/>
    </row>
    <row r="21" spans="1:10" s="1" customFormat="1" ht="45.75" customHeight="1" x14ac:dyDescent="0.2">
      <c r="A21" s="19" t="s">
        <v>221</v>
      </c>
      <c r="B21" s="18" t="str">
        <f>VLOOKUP($A21,Questions!$A$2:$X$333,2,0)</f>
        <v>For customers not using SSO, does your solution support local authentication protocols for user and administrator authentication?*</v>
      </c>
      <c r="C21" s="21"/>
      <c r="D21" s="313"/>
      <c r="E21" s="167" t="str">
        <f>IF($C$18='Auto Responses'!$J$4,'Auto Responses'!$A$3,IF($C21='Auto Responses'!$J$3,VLOOKUP($A21,Questions!$A$2:$X$333,17,0)&amp;"",IF($C21='Auto Responses'!$J$4,VLOOKUP($A21,Questions!$A$2:$X$333,16,0)&amp;"",VLOOKUP($A21,Questions!$A$2:$X$333,15,0)&amp;"")))</f>
        <v/>
      </c>
      <c r="F21" s="201" t="str">
        <f>VLOOKUP($A21,'Institution Evaluation'!$A$56:$F$345,6,0)&amp;""</f>
        <v/>
      </c>
      <c r="I21" s="35"/>
      <c r="J21" s="35"/>
    </row>
    <row r="22" spans="1:10" s="1" customFormat="1" ht="48" customHeight="1" x14ac:dyDescent="0.2">
      <c r="A22" s="19" t="s">
        <v>225</v>
      </c>
      <c r="B22" s="18" t="str">
        <f>VLOOKUP($A22,Questions!$A$2:$X$333,2,0)</f>
        <v>For customers not using SSO, can you enforce password/passphrase complexity requirements (provided by the institution)?*</v>
      </c>
      <c r="C22" s="21"/>
      <c r="D22" s="313"/>
      <c r="E22" s="167" t="str">
        <f>IF($C$18='Auto Responses'!$J$4,'Auto Responses'!$A$3,IF($C22='Auto Responses'!$J$3,VLOOKUP($A22,Questions!$A$2:$X$333,17,0)&amp;"",IF($C22='Auto Responses'!$J$4,VLOOKUP($A22,Questions!$A$2:$X$333,16,0)&amp;"",VLOOKUP($A22,Questions!$A$2:$X$333,15,0)&amp;"")))</f>
        <v/>
      </c>
      <c r="F22" s="201" t="str">
        <f>VLOOKUP($A22,'Institution Evaluation'!$A$56:$F$345,6,0)&amp;""</f>
        <v/>
      </c>
      <c r="I22" s="35"/>
      <c r="J22" s="35"/>
    </row>
    <row r="23" spans="1:10" s="1" customFormat="1" ht="72" customHeight="1" x14ac:dyDescent="0.2">
      <c r="A23" s="19" t="s">
        <v>226</v>
      </c>
      <c r="B23" s="18" t="str">
        <f>VLOOKUP($A23,Questions!$A$2:$X$333,2,0)</f>
        <v>For customers not using SSO, does the system have password complexity or length limitations and/or restrictions?*</v>
      </c>
      <c r="C23" s="21"/>
      <c r="D23" s="313"/>
      <c r="E23" s="167" t="str">
        <f>IF($C$18='Auto Responses'!$J$4,'Auto Responses'!$A$3,IF($C23='Auto Responses'!$J$3,VLOOKUP($A23,Questions!$A$2:$X$333,17,0)&amp;"",IF($C23='Auto Responses'!$J$4,VLOOKUP($A23,Questions!$A$2:$X$333,16,0)&amp;"",VLOOKUP($A23,Questions!$A$2:$X$333,15,0)&amp;"")))</f>
        <v>Answer "yes" if your solution has internal limits to password complexity (max length, certain special characters unsupported, etc.).</v>
      </c>
      <c r="F23" s="201" t="str">
        <f>VLOOKUP($A23,'Institution Evaluation'!$A$56:$F$345,6,0)&amp;""</f>
        <v/>
      </c>
      <c r="I23" s="35"/>
      <c r="J23" s="35"/>
    </row>
    <row r="24" spans="1:10" s="1" customFormat="1" ht="73.5" customHeight="1" x14ac:dyDescent="0.2">
      <c r="A24" s="19" t="s">
        <v>230</v>
      </c>
      <c r="B24" s="18" t="str">
        <f>VLOOKUP($A24,Questions!$A$2:$X$333,2,0)</f>
        <v>For customers not using SSO, do you have documented password/passphrase reset procedures that are currently implemented in the system and/or customer support?*</v>
      </c>
      <c r="C24" s="21"/>
      <c r="D24" s="313"/>
      <c r="E24" s="167" t="str">
        <f>IF($C$18='Auto Responses'!$J$4,'Auto Responses'!$A$3,IF($C24='Auto Responses'!$J$3,VLOOKUP($A24,Questions!$A$2:$X$333,17,0)&amp;"",IF($C24='Auto Responses'!$J$4,VLOOKUP($A24,Questions!$A$2:$X$333,16,0)&amp;"",VLOOKUP($A24,Questions!$A$2:$X$333,15,0)&amp;"")))</f>
        <v/>
      </c>
      <c r="F24" s="201" t="str">
        <f>VLOOKUP($A24,'Institution Evaluation'!$A$56:$F$345,6,0)&amp;""</f>
        <v/>
      </c>
      <c r="H24" s="172"/>
      <c r="I24" s="35"/>
      <c r="J24" s="35"/>
    </row>
    <row r="25" spans="1:10" s="1" customFormat="1" ht="57.75" customHeight="1" x14ac:dyDescent="0.2">
      <c r="A25" s="19" t="s">
        <v>233</v>
      </c>
      <c r="B25" s="18" t="str">
        <f>VLOOKUP($A25,Questions!$A$2:$X$333,2,0)</f>
        <v>Does your organization participate in InCommon or another eduGAIN-affiliated trust federation?*</v>
      </c>
      <c r="C25" s="21"/>
      <c r="D25" s="313"/>
      <c r="E25" s="167" t="str">
        <f>IF($C$18='Auto Responses'!$J$4,'Auto Responses'!$A$3,IF($C25='Auto Responses'!$J$3,VLOOKUP($A25,Questions!$A$2:$X$333,17,0)&amp;"",IF($C25='Auto Responses'!$J$4,VLOOKUP($A25,Questions!$A$2:$X$333,16,0)&amp;"",VLOOKUP($A25,Questions!$A$2:$X$333,15,0)&amp;"")))</f>
        <v/>
      </c>
      <c r="F25" s="201" t="str">
        <f>VLOOKUP($A25,'Institution Evaluation'!$A$56:$F$345,6,0)&amp;""</f>
        <v/>
      </c>
      <c r="I25" s="35"/>
      <c r="J25" s="35"/>
    </row>
    <row r="26" spans="1:10" s="1" customFormat="1" ht="38.25" customHeight="1" x14ac:dyDescent="0.2">
      <c r="A26" s="19" t="s">
        <v>236</v>
      </c>
      <c r="B26" s="18" t="str">
        <f>VLOOKUP($A26,Questions!$A$2:$X$333,2,0)</f>
        <v>Are there any passwords/passphrases hard-coded into your systems or solutions?*</v>
      </c>
      <c r="C26" s="21"/>
      <c r="D26" s="313"/>
      <c r="E26" s="167" t="str">
        <f>IF($C$18='Auto Responses'!$J$4,'Auto Responses'!$A$3,IF($C26='Auto Responses'!$J$3,VLOOKUP($A26,Questions!$A$2:$X$333,17,0)&amp;"",IF($C26='Auto Responses'!$J$4,VLOOKUP($A26,Questions!$A$2:$X$333,16,0)&amp;"",VLOOKUP($A26,Questions!$A$2:$X$333,15,0)&amp;"")))</f>
        <v/>
      </c>
      <c r="F26" s="201" t="str">
        <f>VLOOKUP($A26,'Institution Evaluation'!$A$56:$F$345,6,0)&amp;""</f>
        <v/>
      </c>
      <c r="I26" s="35"/>
      <c r="J26" s="35"/>
    </row>
    <row r="27" spans="1:10" s="1" customFormat="1" ht="38.25" customHeight="1" x14ac:dyDescent="0.2">
      <c r="A27" s="19" t="s">
        <v>239</v>
      </c>
      <c r="B27" s="18" t="str">
        <f>VLOOKUP($A27,Questions!$A$2:$X$333,2,0)</f>
        <v>Are you storing any passwords in plaintext?*</v>
      </c>
      <c r="C27" s="21"/>
      <c r="D27" s="313"/>
      <c r="E27" s="167" t="str">
        <f>IF($C$18='Auto Responses'!$J$4,'Auto Responses'!$A$3,IF($C27='Auto Responses'!$J$3,VLOOKUP($A27,Questions!$A$2:$X$333,17,0)&amp;"",IF($C27='Auto Responses'!$J$4,VLOOKUP($A27,Questions!$A$2:$X$333,16,0)&amp;"",VLOOKUP($A27,Questions!$A$2:$X$333,15,0)&amp;"")))</f>
        <v/>
      </c>
      <c r="F27" s="201" t="str">
        <f>VLOOKUP($A27,'Institution Evaluation'!$A$56:$F$345,6,0)&amp;""</f>
        <v/>
      </c>
      <c r="I27" s="35"/>
      <c r="J27" s="35"/>
    </row>
    <row r="28" spans="1:10" s="1" customFormat="1" ht="69.75" customHeight="1" x14ac:dyDescent="0.2">
      <c r="A28" s="19" t="s">
        <v>242</v>
      </c>
      <c r="B28" s="18" t="str">
        <f>VLOOKUP($A28,Questions!$A$2:$X$333,2,0)</f>
        <v>Are audit logs available that include AT LEAST all of the following: login, logout, actions performed, and source IP address?*</v>
      </c>
      <c r="C28" s="21"/>
      <c r="D28" s="313"/>
      <c r="E28" s="167" t="str">
        <f>IF($C$18='Auto Responses'!$J$4,'Auto Responses'!$A$3,IF($C28='Auto Responses'!$J$3,VLOOKUP($A28,Questions!$A$2:$X$333,17,0)&amp;"",IF($C28='Auto Responses'!$J$4,VLOOKUP($A28,Questions!$A$2:$X$333,16,0)&amp;"",VLOOKUP($A28,Questions!$A$2:$X$333,15,0)&amp;"")))</f>
        <v/>
      </c>
      <c r="F28" s="201" t="str">
        <f>VLOOKUP($A28,'Institution Evaluation'!$A$56:$F$345,6,0)&amp;""</f>
        <v/>
      </c>
      <c r="I28" s="35"/>
      <c r="J28" s="35"/>
    </row>
    <row r="29" spans="1:10" s="1" customFormat="1" ht="104.25" customHeight="1" x14ac:dyDescent="0.2">
      <c r="A29" s="19" t="s">
        <v>245</v>
      </c>
      <c r="B29" s="18"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359"/>
      <c r="D29" s="313"/>
      <c r="E29" s="167" t="str">
        <f>IF($C$18='Auto Responses'!$J$4,'Auto Responses'!$A$3,IF($C29='Auto Responses'!$J$3,VLOOKUP($A29,Questions!$A$2:$X$333,17,0)&amp;"",IF($C29='Auto Responses'!$J$4,VLOOKUP($A29,Questions!$A$2:$X$333,16,0)&amp;"",VLOOKUP($A29,Questions!$A$2:$X$333,15,0)&amp;"")))</f>
        <v>Ensure that all elements of AAAI-10 are clearly stated in your response.</v>
      </c>
      <c r="F29" s="201" t="str">
        <f>VLOOKUP($A29,'Institution Evaluation'!$A$56:$F$345,6,0)&amp;""</f>
        <v/>
      </c>
      <c r="I29" s="35"/>
      <c r="J29" s="35"/>
    </row>
    <row r="30" spans="1:10" s="1" customFormat="1" ht="48" customHeight="1" x14ac:dyDescent="0.2">
      <c r="A30" s="19" t="s">
        <v>249</v>
      </c>
      <c r="B30" s="18" t="str">
        <f>VLOOKUP($A30,Questions!$A$2:$X$333,2,0)</f>
        <v>Can you provide the institution documentation regarding the retention period for those logs, how logs are protected, and whether they are accessible to the customer (and if so, how)?*</v>
      </c>
      <c r="C30" s="21"/>
      <c r="D30" s="313"/>
      <c r="E30" s="167" t="str">
        <f>IF($C$18='Auto Responses'!$J$4,'Auto Responses'!$A$3,IF($C30='Auto Responses'!$J$3,VLOOKUP($A30,Questions!$A$2:$X$333,17,0)&amp;"",IF($C30='Auto Responses'!$J$4,VLOOKUP($A30,Questions!$A$2:$X$333,16,0)&amp;"",VLOOKUP($A30,Questions!$A$2:$X$333,15,0)&amp;"")))</f>
        <v>Ensure that all elements of AAAI-11 are clearly stated in your response.</v>
      </c>
      <c r="F30" s="201" t="str">
        <f>VLOOKUP($A30,'Institution Evaluation'!$A$56:$F$345,6,0)&amp;""</f>
        <v/>
      </c>
      <c r="I30" s="35"/>
      <c r="J30" s="35"/>
    </row>
    <row r="31" spans="1:10" s="1" customFormat="1" ht="55.5" customHeight="1" x14ac:dyDescent="0.2">
      <c r="A31" s="19" t="s">
        <v>253</v>
      </c>
      <c r="B31" s="18" t="str">
        <f>VLOOKUP($A31,Questions!$A$2:$X$333,2,0)</f>
        <v>For customers not using SSO, does your application support integration with other authentication and authorization systems?</v>
      </c>
      <c r="C31" s="21"/>
      <c r="D31" s="313"/>
      <c r="E31" s="167" t="str">
        <f>IF($C$18='Auto Responses'!$J$4,'Auto Responses'!$A$3,IF($C31='Auto Responses'!$J$3,VLOOKUP($A31,Questions!$A$2:$X$333,17,0)&amp;"",IF($C31='Auto Responses'!$J$4,VLOOKUP($A31,Questions!$A$2:$X$333,16,0)&amp;"",VLOOKUP($A31,Questions!$A$2:$X$333,15,0)&amp;"")))</f>
        <v/>
      </c>
      <c r="F31" s="201" t="str">
        <f>VLOOKUP($A31,'Institution Evaluation'!$A$56:$F$345,6,0)&amp;""</f>
        <v/>
      </c>
      <c r="I31" s="35"/>
      <c r="J31" s="35"/>
    </row>
    <row r="32" spans="1:10" s="1" customFormat="1" ht="51.75" customHeight="1" x14ac:dyDescent="0.2">
      <c r="A32" s="19" t="s">
        <v>255</v>
      </c>
      <c r="B32" s="18" t="str">
        <f>VLOOKUP($A32,Questions!$A$2:$X$333,2,0)</f>
        <v>Do you allow the customer to specify attribute mappings for any needed information beyond a user identifier? (e.g., Reference eduPerson, ePPA/ePPN/ePE)</v>
      </c>
      <c r="C32" s="21"/>
      <c r="D32" s="313"/>
      <c r="E32" s="167" t="str">
        <f>IF($C$18='Auto Responses'!$J$4,'Auto Responses'!$A$3,IF($C32='Auto Responses'!$J$3,VLOOKUP($A32,Questions!$A$2:$X$333,17,0)&amp;"",IF($C32='Auto Responses'!$J$4,VLOOKUP($A32,Questions!$A$2:$X$333,16,0)&amp;"",VLOOKUP($A32,Questions!$A$2:$X$333,15,0)&amp;"")))</f>
        <v/>
      </c>
      <c r="F32" s="201" t="str">
        <f>VLOOKUP($A32,'Institution Evaluation'!$A$56:$F$345,6,0)&amp;""</f>
        <v/>
      </c>
      <c r="I32" s="35"/>
      <c r="J32" s="35"/>
    </row>
    <row r="33" spans="1:10" s="1" customFormat="1" ht="60" customHeight="1" x14ac:dyDescent="0.2">
      <c r="A33" s="19" t="s">
        <v>260</v>
      </c>
      <c r="B33" s="18" t="str">
        <f>VLOOKUP($A33,Questions!$A$2:$X$333,2,0)</f>
        <v>For customers not using SSO, does your application support directory integration for user accounts?</v>
      </c>
      <c r="C33" s="21"/>
      <c r="D33" s="313"/>
      <c r="E33" s="167" t="str">
        <f>IF($C$18='Auto Responses'!$J$4,'Auto Responses'!$A$3,IF($C33='Auto Responses'!$J$3,VLOOKUP($A33,Questions!$A$2:$X$333,17,0)&amp;"",IF($C33='Auto Responses'!$J$4,VLOOKUP($A33,Questions!$A$2:$X$333,16,0)&amp;"",VLOOKUP($A33,Questions!$A$2:$X$333,15,0)&amp;"")))</f>
        <v/>
      </c>
      <c r="F33" s="201" t="str">
        <f>VLOOKUP($A33,'Institution Evaluation'!$A$56:$F$345,6,0)&amp;""</f>
        <v/>
      </c>
      <c r="I33" s="35"/>
      <c r="J33" s="35"/>
    </row>
    <row r="34" spans="1:10" s="1" customFormat="1" ht="75" customHeight="1" x14ac:dyDescent="0.2">
      <c r="A34" s="19" t="s">
        <v>261</v>
      </c>
      <c r="B34" s="18" t="str">
        <f>VLOOKUP($A34,Questions!$A$2:$X$333,2,0)</f>
        <v>Does your solution support any of the following web SSO standards: SAML2 (with redirect flow), OIDC, CAS, or other?</v>
      </c>
      <c r="C34" s="21"/>
      <c r="D34" s="313"/>
      <c r="E34" s="167" t="str">
        <f>IF($C$18='Auto Responses'!$J$4,'Auto Responses'!$A$3,IF($C34='Auto Responses'!$J$3,VLOOKUP($A34,Questions!$A$2:$X$333,17,0)&amp;"",IF($C34='Auto Responses'!$J$4,VLOOKUP($A34,Questions!$A$2:$X$333,16,0)&amp;"",VLOOKUP($A34,Questions!$A$2:$X$333,15,0)&amp;"")))</f>
        <v>An answer of "yes" should be well-supported in the Additional Information column, and all elements of interest should be sufficiently addressed.</v>
      </c>
      <c r="F34" s="201" t="str">
        <f>VLOOKUP($A34,'Institution Evaluation'!$A$56:$F$345,6,0)&amp;""</f>
        <v/>
      </c>
      <c r="I34" s="35"/>
      <c r="J34" s="35"/>
    </row>
    <row r="35" spans="1:10" s="1" customFormat="1" ht="70.5" customHeight="1" x14ac:dyDescent="0.2">
      <c r="A35" s="19" t="s">
        <v>265</v>
      </c>
      <c r="B35" s="18" t="str">
        <f>VLOOKUP($A35,Questions!$A$2:$X$333,2,0)</f>
        <v>Do you support differentiation between email address and user identifier?</v>
      </c>
      <c r="C35" s="21"/>
      <c r="D35" s="313"/>
      <c r="E35" s="167" t="str">
        <f>IF($C$18='Auto Responses'!$J$4,'Auto Responses'!$A$3,IF($C35='Auto Responses'!$J$3,VLOOKUP($A35,Questions!$A$2:$X$333,17,0)&amp;"",IF($C35='Auto Responses'!$J$4,VLOOKUP($A35,Questions!$A$2:$X$333,16,0)&amp;"",VLOOKUP($A35,Questions!$A$2:$X$333,15,0)&amp;"")))</f>
        <v/>
      </c>
      <c r="F35" s="201" t="str">
        <f>VLOOKUP($A35,'Institution Evaluation'!$A$56:$F$345,6,0)&amp;""</f>
        <v/>
      </c>
      <c r="I35" s="35"/>
      <c r="J35" s="35"/>
    </row>
    <row r="36" spans="1:10" s="1" customFormat="1" ht="57.75" customHeight="1" x14ac:dyDescent="0.2">
      <c r="A36" s="19" t="s">
        <v>268</v>
      </c>
      <c r="B36" s="18" t="str">
        <f>VLOOKUP($A36,Questions!$A$2:$X$333,2,0)</f>
        <v>For customers not using SSO, does your application and/or user frontend/portal support multifactor authentication (e.g., Duo, Google Authenticator, OTP, etc.)?</v>
      </c>
      <c r="C36" s="21"/>
      <c r="D36" s="313"/>
      <c r="E36" s="167" t="str">
        <f>IF($C$18='Auto Responses'!$J$4,'Auto Responses'!$A$3,IF($C$20='Auto Responses'!$J$4,'Auto Responses'!$A$28,IF($C36='Auto Responses'!$J$3,VLOOKUP($A36,Questions!$A$2:$X$333,17,0)&amp;"",IF($C36='Auto Responses'!$J$4,VLOOKUP($A36,Questions!$A$2:$X$333,16,0)&amp;"",VLOOKUP($A36,Questions!$A$2:$X$333,15,0)&amp;""))))</f>
        <v/>
      </c>
      <c r="F36" s="201" t="str">
        <f>VLOOKUP($A36,'Institution Evaluation'!$A$56:$F$345,6,0)&amp;""</f>
        <v/>
      </c>
      <c r="I36" s="35"/>
      <c r="J36" s="35"/>
    </row>
    <row r="37" spans="1:10" s="1" customFormat="1" ht="99" customHeight="1" thickBot="1" x14ac:dyDescent="0.25">
      <c r="A37" s="19" t="s">
        <v>271</v>
      </c>
      <c r="B37" s="18" t="str">
        <f>VLOOKUP($A37,Questions!$A$2:$X$333,2,0)</f>
        <v>Does your application automatically lock the session or log out an account after a period of inactivity?</v>
      </c>
      <c r="C37" s="21"/>
      <c r="D37" s="313"/>
      <c r="E37" s="167" t="str">
        <f>IF($C$18='Auto Responses'!$J$4,'Auto Responses'!$A$3,IF($C37='Auto Responses'!$J$3,VLOOKUP($A37,Questions!$A$2:$X$333,17,0)&amp;"",IF($C37='Auto Responses'!$J$4,VLOOKUP($A37,Questions!$A$2:$X$333,16,0)&amp;"",VLOOKUP($A37,Questions!$A$2:$X$333,15,0)&amp;"")))</f>
        <v/>
      </c>
      <c r="F37" s="201" t="str">
        <f>VLOOKUP($A37,'Institution Evaluation'!$A$56:$F$345,6,0)&amp;""</f>
        <v/>
      </c>
      <c r="G37" s="238" t="s">
        <v>1449</v>
      </c>
      <c r="I37" s="35"/>
      <c r="J37" s="35"/>
    </row>
    <row r="38" spans="1:10" s="1" customFormat="1" ht="37.35" customHeight="1" thickBot="1" x14ac:dyDescent="0.25">
      <c r="A38" s="63" t="str">
        <f>VLOOKUP(LEFT($A39,4),'Auto Responses'!$N$4:$O$38,2,0)&amp;""</f>
        <v xml:space="preserve"> Data</v>
      </c>
      <c r="B38" s="22"/>
      <c r="C38" s="13" t="s">
        <v>1497</v>
      </c>
      <c r="D38" s="13" t="s">
        <v>72</v>
      </c>
      <c r="E38" s="31" t="s">
        <v>848</v>
      </c>
      <c r="F38" s="187" t="s">
        <v>849</v>
      </c>
      <c r="I38" s="35"/>
      <c r="J38" s="35"/>
    </row>
    <row r="39" spans="1:10" s="1" customFormat="1" ht="72" customHeight="1" x14ac:dyDescent="0.2">
      <c r="A39" s="19" t="s">
        <v>325</v>
      </c>
      <c r="B39" s="18" t="str">
        <f>VLOOKUP($A39,Questions!$A$2:$X$333,2,0)</f>
        <v>Will the institution's data be stored on any devices (database servers, file servers, SAN, NAS, etc.) configured with non-RFC 1918/4193 (i.e., publicly routable) IP addresses?*</v>
      </c>
      <c r="C39" s="21"/>
      <c r="D39" s="313"/>
      <c r="E39" s="167" t="str">
        <f>IF($C$18='Auto Responses'!$J$4,'Auto Responses'!$A$3,IF($C39='Auto Responses'!$J$3,VLOOKUP($A39,Questions!$A$2:$X$333,17,0)&amp;"",IF($C39='Auto Responses'!$J$4,VLOOKUP($A39,Questions!$A$2:$X$333,16,0)&amp;"",VLOOKUP($A39,Questions!$A$2:$X$333,15,0)&amp;"")))</f>
        <v/>
      </c>
      <c r="F39" s="201" t="str">
        <f>VLOOKUP($A39,'Institution Evaluation'!$A$56:$F$345,6,0)&amp;""</f>
        <v/>
      </c>
      <c r="I39" s="35"/>
      <c r="J39" s="35"/>
    </row>
    <row r="40" spans="1:10" s="1" customFormat="1" ht="61.5" customHeight="1" x14ac:dyDescent="0.2">
      <c r="A40" s="19" t="s">
        <v>329</v>
      </c>
      <c r="B40" s="18" t="str">
        <f>VLOOKUP($A40,Questions!$A$2:$X$333,2,0)</f>
        <v>Is the transport of sensitive data encrypted using security protocols/algorithms (e.g., system-to-client)?*</v>
      </c>
      <c r="C40" s="21"/>
      <c r="D40" s="313"/>
      <c r="E40" s="167" t="str">
        <f>IF($C$18='Auto Responses'!$J$4,'Auto Responses'!$A$3,IF($C40='Auto Responses'!$J$3,VLOOKUP($A40,Questions!$A$2:$X$333,17,0)&amp;"",IF($C40='Auto Responses'!$J$4,VLOOKUP($A40,Questions!$A$2:$X$333,16,0)&amp;"",VLOOKUP($A40,Questions!$A$2:$X$333,15,0)&amp;"")))</f>
        <v/>
      </c>
      <c r="F40" s="201" t="str">
        <f>VLOOKUP($A40,'Institution Evaluation'!$A$56:$F$345,6,0)&amp;""</f>
        <v/>
      </c>
      <c r="I40" s="35"/>
      <c r="J40" s="35"/>
    </row>
    <row r="41" spans="1:10" s="1" customFormat="1" ht="52.5" customHeight="1" x14ac:dyDescent="0.2">
      <c r="A41" s="19" t="s">
        <v>332</v>
      </c>
      <c r="B41" s="18" t="str">
        <f>VLOOKUP($A41,Questions!$A$2:$X$333,2,0)</f>
        <v>Is the storage of sensitive data encrypted using security protocols/algorithms (e.g., disk encryption, at-rest, files, and within a running database)?*</v>
      </c>
      <c r="C41" s="21"/>
      <c r="D41" s="313"/>
      <c r="E41" s="167" t="str">
        <f>IF($C$18='Auto Responses'!$J$4,'Auto Responses'!$A$3,IF($C41='Auto Responses'!$J$3,VLOOKUP($A41,Questions!$A$2:$X$333,17,0)&amp;"",IF($C41='Auto Responses'!$J$4,VLOOKUP($A41,Questions!$A$2:$X$333,16,0)&amp;"",VLOOKUP($A41,Questions!$A$2:$X$333,15,0)&amp;"")))</f>
        <v/>
      </c>
      <c r="F41" s="201" t="str">
        <f>VLOOKUP($A41,'Institution Evaluation'!$A$56:$F$345,6,0)&amp;""</f>
        <v/>
      </c>
      <c r="I41" s="35"/>
      <c r="J41" s="35"/>
    </row>
    <row r="42" spans="1:10" s="1" customFormat="1" ht="51.75" customHeight="1" x14ac:dyDescent="0.2">
      <c r="A42" s="19" t="s">
        <v>336</v>
      </c>
      <c r="B42" s="18" t="str">
        <f>VLOOKUP($A42,Questions!$A$2:$X$333,2,0)</f>
        <v>Do all cryptographic modules in use in your solution conform to the Federal Information Processing Standards (FIPS PUB 140-2 or 140-3)?*</v>
      </c>
      <c r="C42" s="21"/>
      <c r="D42" s="313"/>
      <c r="E42" s="167" t="str">
        <f>IF($C$18='Auto Responses'!$J$4,'Auto Responses'!$A$3,IF($C42='Auto Responses'!$J$3,VLOOKUP($A42,Questions!$A$2:$X$333,17,0)&amp;"",IF($C42='Auto Responses'!$J$4,VLOOKUP($A42,Questions!$A$2:$X$333,16,0)&amp;"",VLOOKUP($A42,Questions!$A$2:$X$333,15,0)&amp;"")))</f>
        <v/>
      </c>
      <c r="F42" s="201" t="str">
        <f>VLOOKUP($A42,'Institution Evaluation'!$A$56:$F$345,6,0)&amp;""</f>
        <v/>
      </c>
      <c r="I42" s="35"/>
      <c r="J42" s="35"/>
    </row>
    <row r="43" spans="1:10" s="1" customFormat="1" ht="38.25" customHeight="1" x14ac:dyDescent="0.2">
      <c r="A43" s="19" t="s">
        <v>341</v>
      </c>
      <c r="B43" s="18" t="str">
        <f>VLOOKUP($A43,Questions!$A$2:$X$333,2,0)</f>
        <v>Will the institution's data be available within the system for a period of time at the completion of this contract?*</v>
      </c>
      <c r="C43" s="21"/>
      <c r="D43" s="313"/>
      <c r="E43" s="167" t="str">
        <f>IF($C$18='Auto Responses'!$J$4,'Auto Responses'!$A$3,IF($C43='Auto Responses'!$J$3,VLOOKUP($A43,Questions!$A$2:$X$333,17,0)&amp;"",IF($C43='Auto Responses'!$J$4,VLOOKUP($A43,Questions!$A$2:$X$333,16,0)&amp;"",VLOOKUP($A43,Questions!$A$2:$X$333,15,0)&amp;"")))</f>
        <v/>
      </c>
      <c r="F43" s="201" t="str">
        <f>VLOOKUP($A43,'Institution Evaluation'!$A$56:$F$345,6,0)&amp;""</f>
        <v/>
      </c>
      <c r="I43" s="35"/>
      <c r="J43" s="35"/>
    </row>
    <row r="44" spans="1:10" s="1" customFormat="1" ht="38.25" customHeight="1" x14ac:dyDescent="0.2">
      <c r="A44" s="19" t="s">
        <v>344</v>
      </c>
      <c r="B44" s="18" t="str">
        <f>VLOOKUP($A44,Questions!$A$2:$X$333,2,0)</f>
        <v>Are ownership rights to all data, inputs, outputs, and metadata retained even through a provider acquisition or bankruptcy event?*</v>
      </c>
      <c r="C44" s="21"/>
      <c r="D44" s="313"/>
      <c r="E44" s="167" t="str">
        <f>IF($C$18='Auto Responses'!$J$4,'Auto Responses'!$A$3,IF($C44='Auto Responses'!$J$3,VLOOKUP($A44,Questions!$A$2:$X$333,17,0)&amp;"",IF($C44='Auto Responses'!$J$4,VLOOKUP($A44,Questions!$A$2:$X$333,16,0)&amp;"",VLOOKUP($A44,Questions!$A$2:$X$333,15,0)&amp;"")))</f>
        <v/>
      </c>
      <c r="F44" s="201" t="str">
        <f>VLOOKUP($A44,'Institution Evaluation'!$A$56:$F$345,6,0)&amp;""</f>
        <v/>
      </c>
      <c r="I44" s="35"/>
      <c r="J44" s="35"/>
    </row>
    <row r="45" spans="1:10" s="1" customFormat="1" ht="38.25" customHeight="1" x14ac:dyDescent="0.2">
      <c r="A45" s="19" t="s">
        <v>346</v>
      </c>
      <c r="B45" s="18" t="str">
        <f>VLOOKUP($A45,Questions!$A$2:$X$333,2,0)</f>
        <v>Do backups containing the institution's data ever leave the institution's data zone either physically or via network routing?*</v>
      </c>
      <c r="C45" s="21"/>
      <c r="D45" s="313"/>
      <c r="E45" s="167" t="str">
        <f>IF($C$18='Auto Responses'!$J$4,'Auto Responses'!$A$3,IF($C45='Auto Responses'!$J$3,VLOOKUP($A45,Questions!$A$2:$X$333,17,0)&amp;"",IF($C45='Auto Responses'!$J$4,VLOOKUP($A45,Questions!$A$2:$X$333,16,0)&amp;"",VLOOKUP($A45,Questions!$A$2:$X$333,15,0)&amp;"")))</f>
        <v/>
      </c>
      <c r="F45" s="201" t="str">
        <f>VLOOKUP($A45,'Institution Evaluation'!$A$56:$F$345,6,0)&amp;""</f>
        <v/>
      </c>
      <c r="I45" s="35"/>
      <c r="J45" s="35"/>
    </row>
    <row r="46" spans="1:10" s="1" customFormat="1" ht="38.25" customHeight="1" x14ac:dyDescent="0.2">
      <c r="A46" s="19" t="s">
        <v>348</v>
      </c>
      <c r="B46" s="18" t="str">
        <f>VLOOKUP($A46,Questions!$A$2:$X$333,2,0)</f>
        <v>Is media used for long-term retention of business data and archival purposes stored in a secure, environmentally protected area?*</v>
      </c>
      <c r="C46" s="21"/>
      <c r="D46" s="313"/>
      <c r="E46" s="167" t="str">
        <f>IF($C$18='Auto Responses'!$J$4,'Auto Responses'!$A$3,IF($C46='Auto Responses'!$J$3,VLOOKUP($A46,Questions!$A$2:$X$333,17,0)&amp;"",IF($C46='Auto Responses'!$J$4,VLOOKUP($A46,Questions!$A$2:$X$333,16,0)&amp;"",VLOOKUP($A46,Questions!$A$2:$X$333,15,0)&amp;"")))</f>
        <v/>
      </c>
      <c r="F46" s="201" t="str">
        <f>VLOOKUP($A46,'Institution Evaluation'!$A$56:$F$345,6,0)&amp;""</f>
        <v/>
      </c>
      <c r="I46" s="35"/>
      <c r="J46" s="35"/>
    </row>
    <row r="47" spans="1:10" s="1" customFormat="1" ht="48" customHeight="1" x14ac:dyDescent="0.2">
      <c r="A47" s="19" t="s">
        <v>352</v>
      </c>
      <c r="B47" s="18" t="str">
        <f>VLOOKUP($A47,Questions!$A$2:$X$333,2,0)</f>
        <v>At the completion of this contract, will data be returned to the institution and/or deleted from all your systems and archives?</v>
      </c>
      <c r="C47" s="21"/>
      <c r="D47" s="313"/>
      <c r="E47" s="167" t="str">
        <f>IF($C$18='Auto Responses'!$J$4,'Auto Responses'!$A$3,IF($C47='Auto Responses'!$J$3,VLOOKUP($A47,Questions!$A$2:$X$333,17,0)&amp;"",IF($C47='Auto Responses'!$J$4,VLOOKUP($A47,Questions!$A$2:$X$333,16,0)&amp;"",VLOOKUP($A47,Questions!$A$2:$X$333,15,0)&amp;"")))</f>
        <v xml:space="preserve">Please specify if it will be returned, deleted, or both. </v>
      </c>
      <c r="F47" s="201" t="str">
        <f>VLOOKUP($A47,'Institution Evaluation'!$A$56:$F$345,6,0)&amp;""</f>
        <v/>
      </c>
      <c r="I47" s="35"/>
      <c r="J47" s="35"/>
    </row>
    <row r="48" spans="1:10" s="1" customFormat="1" ht="38.25" customHeight="1" x14ac:dyDescent="0.2">
      <c r="A48" s="19" t="s">
        <v>355</v>
      </c>
      <c r="B48" s="18" t="str">
        <f>VLOOKUP($A48,Questions!$A$2:$X$333,2,0)</f>
        <v>Can the institution extract a full or partial backup of data?</v>
      </c>
      <c r="C48" s="21"/>
      <c r="D48" s="313"/>
      <c r="E48" s="167" t="str">
        <f>IF($C$18='Auto Responses'!$J$4,'Auto Responses'!$A$3,IF($C48='Auto Responses'!$J$3,VLOOKUP($A48,Questions!$A$2:$X$333,17,0)&amp;"",IF($C48='Auto Responses'!$J$4,VLOOKUP($A48,Questions!$A$2:$X$333,16,0)&amp;"",VLOOKUP($A48,Questions!$A$2:$X$333,15,0)&amp;"")))</f>
        <v/>
      </c>
      <c r="F48" s="201" t="str">
        <f>VLOOKUP($A48,'Institution Evaluation'!$A$56:$F$345,6,0)&amp;""</f>
        <v/>
      </c>
      <c r="I48" s="35"/>
      <c r="J48" s="35"/>
    </row>
    <row r="49" spans="1:10" s="1" customFormat="1" ht="54" customHeight="1" x14ac:dyDescent="0.2">
      <c r="A49" s="19" t="s">
        <v>359</v>
      </c>
      <c r="B49" s="18" t="str">
        <f>VLOOKUP($A49,Questions!$A$2:$X$333,2,0)</f>
        <v>Do current backups include all operating system software, utilities, security software, application software, and data files necessary for recovery?</v>
      </c>
      <c r="C49" s="21"/>
      <c r="D49" s="313"/>
      <c r="E49" s="167" t="str">
        <f>IF($C$18='Auto Responses'!$J$4,'Auto Responses'!$A$3,IF($C49='Auto Responses'!$J$3,VLOOKUP($A49,Questions!$A$2:$X$333,17,0)&amp;"",IF($C49='Auto Responses'!$J$4,VLOOKUP($A49,Questions!$A$2:$X$333,16,0)&amp;"",VLOOKUP($A49,Questions!$A$2:$X$333,15,0)&amp;"")))</f>
        <v/>
      </c>
      <c r="F49" s="201" t="str">
        <f>VLOOKUP($A49,'Institution Evaluation'!$A$56:$F$345,6,0)&amp;""</f>
        <v/>
      </c>
      <c r="I49" s="35"/>
      <c r="J49" s="35"/>
    </row>
    <row r="50" spans="1:10" s="1" customFormat="1" ht="53.25" customHeight="1" x14ac:dyDescent="0.2">
      <c r="A50" s="19" t="s">
        <v>363</v>
      </c>
      <c r="B50" s="18" t="str">
        <f>VLOOKUP($A50,Questions!$A$2:$X$333,2,0)</f>
        <v>Are you performing off-site backups (i.e., digitally moved off site)?</v>
      </c>
      <c r="C50" s="21"/>
      <c r="D50" s="313"/>
      <c r="E50" s="167" t="str">
        <f>IF($C$18='Auto Responses'!$J$4,'Auto Responses'!$A$3,IF($C50='Auto Responses'!$J$3,VLOOKUP($A50,Questions!$A$2:$X$333,17,0)&amp;"",IF($C50='Auto Responses'!$J$4,VLOOKUP($A50,Questions!$A$2:$X$333,16,0)&amp;"",VLOOKUP($A50,Questions!$A$2:$X$333,15,0)&amp;"")))</f>
        <v/>
      </c>
      <c r="F50" s="201" t="str">
        <f>VLOOKUP($A50,'Institution Evaluation'!$A$56:$F$345,6,0)&amp;""</f>
        <v/>
      </c>
      <c r="I50" s="35"/>
      <c r="J50" s="35"/>
    </row>
    <row r="51" spans="1:10" s="1" customFormat="1" ht="51.75" customHeight="1" x14ac:dyDescent="0.2">
      <c r="A51" s="19" t="s">
        <v>369</v>
      </c>
      <c r="B51" s="18" t="str">
        <f>VLOOKUP($A51,Questions!$A$2:$X$333,2,0)</f>
        <v>Are physical backups taken off-site (i.e., physically moved off site)?</v>
      </c>
      <c r="C51" s="21"/>
      <c r="D51" s="313"/>
      <c r="E51" s="167" t="str">
        <f>IF($C$18='Auto Responses'!$J$4,'Auto Responses'!$A$3,IF($C$20='Auto Responses'!$J$4,'Auto Responses'!$A$28,IF($C51='Auto Responses'!$J$3,VLOOKUP($A51,Questions!$A$2:$X$333,17,0)&amp;"",IF($C51='Auto Responses'!$J$4,VLOOKUP($A51,Questions!$A$2:$X$333,16,0)&amp;"",VLOOKUP($A51,Questions!$A$2:$X$333,15,0)&amp;""))))</f>
        <v/>
      </c>
      <c r="F51" s="201" t="str">
        <f>VLOOKUP($A51,'Institution Evaluation'!$A$56:$F$345,6,0)&amp;""</f>
        <v/>
      </c>
      <c r="I51" s="35"/>
      <c r="J51" s="35"/>
    </row>
    <row r="52" spans="1:10" s="1" customFormat="1" ht="75.75" customHeight="1" x14ac:dyDescent="0.2">
      <c r="A52" s="19" t="s">
        <v>373</v>
      </c>
      <c r="B52" s="18" t="str">
        <f>VLOOKUP($A52,Questions!$A$2:$X$333,2,0)</f>
        <v>Are data backups encrypted?</v>
      </c>
      <c r="C52" s="21"/>
      <c r="D52" s="313"/>
      <c r="E52" s="167" t="str">
        <f>IF($C$18='Auto Responses'!$J$4,'Auto Responses'!$A$3,IF($C52='Auto Responses'!$J$3,VLOOKUP($A52,Questions!$A$2:$X$333,17,0)&amp;"",IF($C52='Auto Responses'!$J$4,VLOOKUP($A52,Questions!$A$2:$X$333,16,0)&amp;"",VLOOKUP($A52,Questions!$A$2:$X$333,15,0)&amp;"")))</f>
        <v/>
      </c>
      <c r="F52" s="201" t="str">
        <f>VLOOKUP($A52,'Institution Evaluation'!$A$56:$F$345,6,0)&amp;""</f>
        <v/>
      </c>
      <c r="I52" s="35"/>
      <c r="J52" s="35"/>
    </row>
    <row r="53" spans="1:10" s="1" customFormat="1" ht="66" customHeight="1" x14ac:dyDescent="0.2">
      <c r="A53" s="19" t="s">
        <v>374</v>
      </c>
      <c r="B53" s="18" t="str">
        <f>VLOOKUP($A53,Questions!$A$2:$X$333,2,0)</f>
        <v>Do you have a media handling process that is documented and currently implemented that meets established business needs and regulatory requirements, including end-of-life, repurposing, and data-sanitization procedures?</v>
      </c>
      <c r="C53" s="21"/>
      <c r="D53" s="313"/>
      <c r="E53" s="167" t="str">
        <f>IF($C$18='Auto Responses'!$J$4,'Auto Responses'!$A$3,IF($C53='Auto Responses'!$J$3,VLOOKUP($A53,Questions!$A$2:$X$333,17,0)&amp;"",IF($C53='Auto Responses'!$J$4,VLOOKUP($A53,Questions!$A$2:$X$333,16,0)&amp;"",VLOOKUP($A53,Questions!$A$2:$X$333,15,0)&amp;"")))</f>
        <v/>
      </c>
      <c r="F53" s="201" t="str">
        <f>VLOOKUP($A53,'Institution Evaluation'!$A$56:$F$345,6,0)&amp;""</f>
        <v/>
      </c>
      <c r="I53" s="35"/>
      <c r="J53" s="35"/>
    </row>
    <row r="54" spans="1:10" s="1" customFormat="1" ht="44.25" customHeight="1" x14ac:dyDescent="0.2">
      <c r="A54" s="19" t="s">
        <v>375</v>
      </c>
      <c r="B54" s="18" t="str">
        <f>VLOOKUP($A54,Questions!$A$2:$X$333,2,0)</f>
        <v>Does the process described in DATA-15 adhere to DoD 5220.22-M and/or NIST SP 800-88 standards?</v>
      </c>
      <c r="C54" s="21"/>
      <c r="D54" s="313"/>
      <c r="E54" s="167" t="str">
        <f>IF($C$18='Auto Responses'!$J$4,'Auto Responses'!$A$3,IF($C54='Auto Responses'!$J$3,VLOOKUP($A54,Questions!$A$2:$X$333,17,0)&amp;"",IF($C54='Auto Responses'!$J$4,VLOOKUP($A54,Questions!$A$2:$X$333,16,0)&amp;"",VLOOKUP($A54,Questions!$A$2:$X$333,15,0)&amp;"")))</f>
        <v/>
      </c>
      <c r="F54" s="201" t="str">
        <f>VLOOKUP($A54,'Institution Evaluation'!$A$56:$F$345,6,0)&amp;""</f>
        <v/>
      </c>
      <c r="I54" s="35"/>
      <c r="J54" s="35"/>
    </row>
    <row r="55" spans="1:10" s="1" customFormat="1" ht="46.5" customHeight="1" x14ac:dyDescent="0.2">
      <c r="A55" s="19" t="s">
        <v>379</v>
      </c>
      <c r="B55" s="18" t="str">
        <f>VLOOKUP($A55,Questions!$A$2:$X$333,2,0)</f>
        <v>Does your staff (or third party) have access to institutional data (e.g., financial, PHI, or other sensitive information) through any means?</v>
      </c>
      <c r="C55" s="21"/>
      <c r="D55" s="313"/>
      <c r="E55" s="167" t="str">
        <f>IF($C$18='Auto Responses'!$J$4,'Auto Responses'!$A$3,IF($C55='Auto Responses'!$J$3,VLOOKUP($A55,Questions!$A$2:$X$333,17,0)&amp;"",IF($C55='Auto Responses'!$J$4,VLOOKUP($A55,Questions!$A$2:$X$333,16,0)&amp;"",VLOOKUP($A55,Questions!$A$2:$X$333,15,0)&amp;"")))</f>
        <v/>
      </c>
      <c r="F55" s="201" t="str">
        <f>VLOOKUP($A55,'Institution Evaluation'!$A$56:$F$345,6,0)&amp;""</f>
        <v/>
      </c>
      <c r="I55" s="35"/>
      <c r="J55" s="35"/>
    </row>
    <row r="56" spans="1:10" s="1" customFormat="1" ht="67.5" customHeight="1" x14ac:dyDescent="0.2">
      <c r="A56" s="19" t="s">
        <v>385</v>
      </c>
      <c r="B56" s="18" t="str">
        <f>VLOOKUP($A56,Questions!$A$2:$X$333,2,0)</f>
        <v>Do you have a documented and currently implemented strategy for securing employee workstations when they work remotely (i.e., not in a trusted computing environment)?</v>
      </c>
      <c r="C56" s="21"/>
      <c r="D56" s="313"/>
      <c r="E56" s="167" t="str">
        <f>IF($C$18='Auto Responses'!$J$4,'Auto Responses'!$A$3,IF($C56='Auto Responses'!$J$3,VLOOKUP($A56,Questions!$A$2:$X$333,17,0)&amp;"",IF($C56='Auto Responses'!$J$4,VLOOKUP($A56,Questions!$A$2:$X$333,16,0)&amp;"",VLOOKUP($A56,Questions!$A$2:$X$333,15,0)&amp;"")))</f>
        <v/>
      </c>
      <c r="F56" s="201" t="str">
        <f>VLOOKUP($A56,'Institution Evaluation'!$A$56:$F$345,6,0)&amp;""</f>
        <v/>
      </c>
      <c r="I56" s="35"/>
      <c r="J56" s="35"/>
    </row>
    <row r="57" spans="1:10" s="1" customFormat="1" ht="68.25" customHeight="1" x14ac:dyDescent="0.2">
      <c r="A57" s="19" t="s">
        <v>387</v>
      </c>
      <c r="B57" s="18" t="str">
        <f>VLOOKUP($A57,Questions!$A$2:$X$333,2,0)</f>
        <v>Does the environment provide for dedicated single-tenant capabilities? If not, describe how your solution or environment separates data from different customers (e.g., logically, physically, single tenancy, multi-tenancy).</v>
      </c>
      <c r="C57" s="21"/>
      <c r="D57" s="313"/>
      <c r="E57" s="167" t="str">
        <f>IF($C$18='Auto Responses'!$J$4,'Auto Responses'!$A$3,IF($C57='Auto Responses'!$J$3,VLOOKUP($A57,Questions!$A$2:$X$333,17,0)&amp;"",IF($C57='Auto Responses'!$J$4,VLOOKUP($A57,Questions!$A$2:$X$333,16,0)&amp;"",VLOOKUP($A57,Questions!$A$2:$X$333,15,0)&amp;"")))</f>
        <v/>
      </c>
      <c r="F57" s="201" t="str">
        <f>VLOOKUP($A57,'Institution Evaluation'!$A$56:$F$345,6,0)&amp;""</f>
        <v/>
      </c>
      <c r="I57" s="35"/>
      <c r="J57" s="35"/>
    </row>
    <row r="58" spans="1:10" s="1" customFormat="1" ht="55.5" customHeight="1" x14ac:dyDescent="0.2">
      <c r="A58" s="19" t="s">
        <v>392</v>
      </c>
      <c r="B58" s="18" t="str">
        <f>VLOOKUP($A58,Questions!$A$2:$X$333,2,0)</f>
        <v>Are ownership rights to all data, inputs, outputs, and metadata retained by the institution?</v>
      </c>
      <c r="C58" s="21"/>
      <c r="D58" s="313"/>
      <c r="E58" s="167" t="str">
        <f>IF($C$18='Auto Responses'!$J$4,'Auto Responses'!$A$3,IF($C58='Auto Responses'!$J$3,VLOOKUP($A58,Questions!$A$2:$X$333,17,0)&amp;"",IF($C58='Auto Responses'!$J$4,VLOOKUP($A58,Questions!$A$2:$X$333,16,0)&amp;"",VLOOKUP($A58,Questions!$A$2:$X$333,15,0)&amp;"")))</f>
        <v/>
      </c>
      <c r="F58" s="201" t="str">
        <f>VLOOKUP($A58,'Institution Evaluation'!$A$56:$F$345,6,0)&amp;""</f>
        <v/>
      </c>
      <c r="I58" s="35"/>
      <c r="J58" s="35"/>
    </row>
    <row r="59" spans="1:10" s="1" customFormat="1" ht="45.75" customHeight="1" x14ac:dyDescent="0.2">
      <c r="A59" s="19" t="s">
        <v>395</v>
      </c>
      <c r="B59" s="18" t="str">
        <f>VLOOKUP($A59,Questions!$A$2:$X$333,2,0)</f>
        <v>In the event of imminent bankruptcy, closing of business, or retirement of service, will you provide 90 days for customers to get their data out of the system and migrate applications?</v>
      </c>
      <c r="C59" s="21"/>
      <c r="D59" s="313"/>
      <c r="E59" s="167" t="str">
        <f>IF($C$18='Auto Responses'!$J$4,'Auto Responses'!$A$3,IF($C59='Auto Responses'!$J$3,VLOOKUP($A59,Questions!$A$2:$X$333,17,0)&amp;"",IF($C59='Auto Responses'!$J$4,VLOOKUP($A59,Questions!$A$2:$X$333,16,0)&amp;"",VLOOKUP($A59,Questions!$A$2:$X$333,15,0)&amp;"")))</f>
        <v/>
      </c>
      <c r="F59" s="201" t="str">
        <f>VLOOKUP($A59,'Institution Evaluation'!$A$56:$F$345,6,0)&amp;""</f>
        <v/>
      </c>
      <c r="I59" s="35"/>
      <c r="J59" s="35"/>
    </row>
    <row r="60" spans="1:10" s="1" customFormat="1" ht="54" customHeight="1" x14ac:dyDescent="0.2">
      <c r="A60" s="19" t="s">
        <v>398</v>
      </c>
      <c r="B60" s="18" t="str">
        <f>VLOOKUP($A60,Questions!$A$2:$X$333,2,0)</f>
        <v>Are involatile backup copies made according to predefined schedules and securely stored and protected?</v>
      </c>
      <c r="C60" s="21"/>
      <c r="D60" s="313"/>
      <c r="E60" s="167" t="str">
        <f>IF($C$18='Auto Responses'!$J$4,'Auto Responses'!$A$3,IF($C60='Auto Responses'!$J$3,VLOOKUP($A60,Questions!$A$2:$X$333,17,0)&amp;"",IF($C60='Auto Responses'!$J$4,VLOOKUP($A60,Questions!$A$2:$X$333,16,0)&amp;"",VLOOKUP($A60,Questions!$A$2:$X$333,15,0)&amp;"")))</f>
        <v>Ensure that response addresses involatile storage and lists retention periods.</v>
      </c>
      <c r="F60" s="201" t="str">
        <f>VLOOKUP($A60,'Institution Evaluation'!$A$56:$F$345,6,0)&amp;""</f>
        <v/>
      </c>
      <c r="I60" s="35"/>
      <c r="J60" s="35"/>
    </row>
    <row r="61" spans="1:10" s="1" customFormat="1" ht="76.5" customHeight="1" x14ac:dyDescent="0.2">
      <c r="A61" s="19" t="s">
        <v>402</v>
      </c>
      <c r="B61" s="18" t="str">
        <f>VLOOKUP($A61,Questions!$A$2:$X$333,2,0)</f>
        <v>Do you have a cryptographic key management process (generation, exchange, storage, safeguards, use, vetting, and replacement) that is documented and currently implemented, for all system components (e.g., database, system, web, etc.)?</v>
      </c>
      <c r="C61" s="21"/>
      <c r="D61" s="313"/>
      <c r="E61" s="167" t="str">
        <f>IF($C$18='Auto Responses'!$J$4,'Auto Responses'!$A$3,IF($C61='Auto Responses'!$J$3,VLOOKUP($A61,Questions!$A$2:$X$333,17,0)&amp;"",IF($C61='Auto Responses'!$J$4,VLOOKUP($A61,Questions!$A$2:$X$333,16,0)&amp;"",VLOOKUP($A61,Questions!$A$2:$X$333,15,0)&amp;"")))</f>
        <v>Summarize your cryptographic key management process.</v>
      </c>
      <c r="F61" s="201" t="str">
        <f>VLOOKUP($A61,'Institution Evaluation'!$A$56:$F$345,6,0)&amp;""</f>
        <v/>
      </c>
      <c r="G61" s="238" t="s">
        <v>1449</v>
      </c>
      <c r="I61" s="35"/>
      <c r="J61" s="35"/>
    </row>
    <row r="62" spans="1:10" s="171" customFormat="1" ht="36.75" customHeight="1" x14ac:dyDescent="0.2">
      <c r="A62" s="267" t="s">
        <v>1507</v>
      </c>
      <c r="B62" s="253"/>
      <c r="C62" s="254"/>
      <c r="D62" s="314"/>
      <c r="E62" s="256"/>
      <c r="F62" s="257"/>
      <c r="G62" s="258"/>
      <c r="I62" s="172"/>
      <c r="J62" s="172"/>
    </row>
    <row r="63" spans="1:10" s="1" customFormat="1" ht="15" customHeight="1" x14ac:dyDescent="0.2">
      <c r="A63" s="266"/>
      <c r="C63" s="8"/>
      <c r="D63" s="9"/>
      <c r="E63" s="10"/>
      <c r="I63" s="35"/>
      <c r="J63" s="35"/>
    </row>
    <row r="64" spans="1:10" s="1" customFormat="1" ht="15" hidden="1" customHeight="1" x14ac:dyDescent="0.2">
      <c r="A64"/>
      <c r="C64" s="8"/>
      <c r="D64" s="9"/>
      <c r="E64" s="10"/>
      <c r="I64" s="35"/>
      <c r="J64" s="35"/>
    </row>
    <row r="65" spans="1:12" ht="15" hidden="1" customHeight="1" x14ac:dyDescent="0.2">
      <c r="A65" s="1"/>
      <c r="B65" s="8"/>
      <c r="C65" s="71"/>
      <c r="D65" s="10"/>
      <c r="E65" s="1"/>
      <c r="H65" s="35"/>
      <c r="I65" s="1"/>
      <c r="J65" s="1"/>
      <c r="L65"/>
    </row>
    <row r="66" spans="1:12" ht="57" hidden="1" customHeight="1" x14ac:dyDescent="0.2">
      <c r="A66" s="19" t="e">
        <f>#REF!</f>
        <v>#REF!</v>
      </c>
    </row>
    <row r="67" spans="1:12" ht="42.75" hidden="1" customHeight="1" x14ac:dyDescent="0.2">
      <c r="A67" s="19" t="e">
        <f>#REF!</f>
        <v>#REF!</v>
      </c>
    </row>
    <row r="68" spans="1:12" ht="15" hidden="1" customHeight="1" x14ac:dyDescent="0.2">
      <c r="A68" s="19" t="e">
        <f>#REF!</f>
        <v>#REF!</v>
      </c>
    </row>
    <row r="69" spans="1:12" ht="15" hidden="1" customHeight="1" x14ac:dyDescent="0.2">
      <c r="A69" s="19" t="e">
        <f>#REF!</f>
        <v>#REF!</v>
      </c>
    </row>
    <row r="70" spans="1:12" ht="15" hidden="1" customHeight="1" x14ac:dyDescent="0.2">
      <c r="A70" s="19" t="e">
        <f>#REF!</f>
        <v>#REF!</v>
      </c>
    </row>
    <row r="71" spans="1:12" ht="15" hidden="1" customHeight="1" x14ac:dyDescent="0.2">
      <c r="A71" s="19" t="e">
        <f>#REF!</f>
        <v>#REF!</v>
      </c>
    </row>
    <row r="72" spans="1:12" ht="15" hidden="1" customHeight="1" x14ac:dyDescent="0.2">
      <c r="A72" s="19" t="e">
        <f>#REF!</f>
        <v>#REF!</v>
      </c>
    </row>
    <row r="73" spans="1:12" ht="15" hidden="1" customHeight="1" x14ac:dyDescent="0.2"/>
    <row r="74" spans="1:12" ht="15" hidden="1" customHeight="1" x14ac:dyDescent="0.2"/>
    <row r="75" spans="1:12" ht="15" hidden="1" customHeight="1" x14ac:dyDescent="0.2"/>
    <row r="76" spans="1:12" ht="15" hidden="1" customHeight="1" x14ac:dyDescent="0.2"/>
    <row r="77" spans="1:12" ht="15" hidden="1" customHeight="1" x14ac:dyDescent="0.2"/>
    <row r="78" spans="1:12" ht="15" hidden="1" customHeight="1" x14ac:dyDescent="0.2"/>
    <row r="79" spans="1:12" ht="15" hidden="1" customHeight="1" x14ac:dyDescent="0.2"/>
    <row r="80" spans="1:12"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093D72B-46CA-40A8-B0D5-8700FB88AD9A}">
          <x14:formula1>
            <xm:f>'Auto Responses'!$J$3:$J$4</xm:f>
          </x14:formula1>
          <xm:sqref>C37 C20:C28 C30:C35 C39:C50 C52:C62</xm:sqref>
        </x14:dataValidation>
        <x14:dataValidation type="list" allowBlank="1" showInputMessage="1" showErrorMessage="1" xr:uid="{0AAA81DB-1F91-4505-860D-18952EEEC318}">
          <x14:formula1>
            <xm:f>'Auto Responses'!$J$3:$J$5</xm:f>
          </x14:formula1>
          <xm:sqref>C36 C51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1" zoomScaleNormal="81" workbookViewId="0">
      <selection activeCell="A2" sqref="A2"/>
    </sheetView>
  </sheetViews>
  <sheetFormatPr defaultColWidth="0" defaultRowHeight="0" customHeight="1" zeroHeight="1" x14ac:dyDescent="0.2"/>
  <cols>
    <col min="1" max="1" width="8.296875" style="23"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5" hidden="1" customWidth="1"/>
    <col min="11" max="11" width="4.5" style="1" hidden="1" customWidth="1"/>
    <col min="12" max="12" width="6.59765625" style="1" hidden="1" customWidth="1"/>
    <col min="13" max="16384" width="6.59765625" style="23" hidden="1"/>
  </cols>
  <sheetData>
    <row r="1" spans="1:12" ht="0" hidden="1" customHeight="1" x14ac:dyDescent="0.2">
      <c r="A1" s="23" t="s">
        <v>1448</v>
      </c>
    </row>
    <row r="2" spans="1:12" customFormat="1" ht="36" customHeight="1" x14ac:dyDescent="0.2">
      <c r="A2" s="168" t="s">
        <v>1377</v>
      </c>
      <c r="B2" s="168"/>
      <c r="C2" s="169"/>
      <c r="D2" s="308"/>
      <c r="E2" s="170"/>
      <c r="F2" s="170" t="str">
        <f>'Auto Responses'!$A$36</f>
        <v>Version 4.1.5</v>
      </c>
      <c r="G2" s="1"/>
      <c r="H2" s="1"/>
      <c r="I2" s="35"/>
      <c r="J2" s="1"/>
      <c r="K2" s="1"/>
      <c r="L2" s="1"/>
    </row>
    <row r="3" spans="1:12" s="1" customFormat="1" ht="29.1" customHeight="1" x14ac:dyDescent="0.2">
      <c r="A3" s="37" t="s">
        <v>940</v>
      </c>
      <c r="B3" s="38"/>
      <c r="C3" s="66">
        <f>'START HERE'!$C$3</f>
        <v>0</v>
      </c>
      <c r="D3" s="309"/>
      <c r="E3" s="36"/>
      <c r="F3" s="50"/>
      <c r="I3" s="35"/>
    </row>
    <row r="4" spans="1:12" s="1" customFormat="1" ht="36" customHeight="1" x14ac:dyDescent="0.2">
      <c r="A4" s="11" t="s">
        <v>865</v>
      </c>
      <c r="B4" s="12"/>
      <c r="C4" s="13"/>
      <c r="D4" s="14"/>
      <c r="E4" s="15"/>
      <c r="F4" s="15"/>
      <c r="I4" s="35"/>
    </row>
    <row r="5" spans="1:12" s="1" customFormat="1" ht="19.5" customHeight="1" x14ac:dyDescent="0.2">
      <c r="A5" s="42" t="str">
        <f>HLOOKUP($A$4,'Auto Responses'!$D$2:$D$8,2,0)&amp;""</f>
        <v>1. Complete the "Start Here" tab and review the "Required Questions" guidance to find the other sections are required for your product or service.</v>
      </c>
      <c r="B5" s="16"/>
      <c r="C5" s="67"/>
      <c r="D5" s="310"/>
      <c r="E5" s="16"/>
      <c r="F5" s="261"/>
      <c r="I5" s="35"/>
    </row>
    <row r="6" spans="1:12" s="1" customFormat="1" ht="19.5" customHeight="1" x14ac:dyDescent="0.2">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2" s="1" customFormat="1" ht="19.5" customHeight="1" x14ac:dyDescent="0.2">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2" s="1" customFormat="1" ht="19.5" customHeight="1" x14ac:dyDescent="0.2">
      <c r="A8" s="42" t="str">
        <f>HLOOKUP($A$4,'Auto Responses'!$D$2:$D$8,5,0)&amp;""</f>
        <v>4. DO NOT complete any fields in the "Evaluation" sheets or the "Analyst Notes" column.</v>
      </c>
      <c r="B8" s="16"/>
      <c r="C8" s="67"/>
      <c r="D8" s="310"/>
      <c r="E8" s="16"/>
      <c r="F8" s="262"/>
      <c r="I8" s="35"/>
    </row>
    <row r="9" spans="1:12" s="1" customFormat="1" ht="19.5" customHeight="1" x14ac:dyDescent="0.2">
      <c r="A9" s="42" t="str">
        <f>HLOOKUP($A$4,'Auto Responses'!$D$2:$D$8,6,0)&amp;""</f>
        <v>5. Return the completed file to institutions.</v>
      </c>
      <c r="B9" s="16"/>
      <c r="C9" s="67"/>
      <c r="D9" s="310"/>
      <c r="E9" s="16"/>
      <c r="F9" s="262"/>
      <c r="I9" s="35"/>
    </row>
    <row r="10" spans="1:12" s="1" customFormat="1" ht="19.5" customHeight="1" x14ac:dyDescent="0.2">
      <c r="A10" s="247" t="str">
        <f>HLOOKUP($A$4,'Auto Responses'!$D$2:$D$8,7,0)&amp;""</f>
        <v>* Denotes critical questions. Critical questions are those deemed most important to institutions by higher education volunteers.</v>
      </c>
      <c r="B10" s="16"/>
      <c r="C10" s="67"/>
      <c r="D10" s="310"/>
      <c r="E10" s="16"/>
      <c r="F10" s="262"/>
      <c r="I10" s="35"/>
    </row>
    <row r="11" spans="1:12" s="1" customFormat="1" ht="19.5" customHeight="1" x14ac:dyDescent="0.2">
      <c r="A11" s="246" t="str">
        <f>HLOOKUP($A$4,'Auto Responses'!$D$2:$D$9,8,0)&amp;""</f>
        <v>For full instructions, please visit educause.edu/HECVAT</v>
      </c>
      <c r="B11" s="16"/>
      <c r="C11" s="67"/>
      <c r="D11" s="310"/>
      <c r="E11" s="16"/>
      <c r="F11" s="263"/>
      <c r="I11" s="35"/>
    </row>
    <row r="12" spans="1:12" s="1" customFormat="1" ht="36" customHeight="1" x14ac:dyDescent="0.2">
      <c r="A12" s="63" t="str">
        <f>VLOOKUP(LEFT($A13,4),'Auto Responses'!$N$4:$O$38,2,0)&amp;""</f>
        <v xml:space="preserve"> General Information</v>
      </c>
      <c r="B12" s="12"/>
      <c r="C12" s="13" t="s">
        <v>1497</v>
      </c>
      <c r="D12" s="311"/>
      <c r="E12" s="17"/>
      <c r="F12" s="17"/>
      <c r="I12" s="35"/>
      <c r="J12" s="35"/>
    </row>
    <row r="13" spans="1:12" s="1" customFormat="1" ht="22.35" customHeight="1" x14ac:dyDescent="0.2">
      <c r="A13" s="19" t="s">
        <v>21</v>
      </c>
      <c r="B13" s="20" t="str">
        <f>VLOOKUP($A13,Questions!$A$2:$X$333,2,0)&amp;""</f>
        <v>Solution Provider Name</v>
      </c>
      <c r="C13" s="76" t="str">
        <f>VLOOKUP($A13,'START HERE'!$A$13:$C$21,3,0)&amp;""</f>
        <v/>
      </c>
      <c r="D13" s="32"/>
      <c r="E13" s="32"/>
      <c r="F13" s="50"/>
      <c r="I13" s="35"/>
      <c r="J13" s="35"/>
    </row>
    <row r="14" spans="1:12" s="1" customFormat="1" ht="22.35" customHeight="1" x14ac:dyDescent="0.2">
      <c r="A14" s="19" t="s">
        <v>24</v>
      </c>
      <c r="B14" s="20" t="str">
        <f>VLOOKUP($A14,Questions!$A$2:$X$333,2,0)&amp;""</f>
        <v>Solution Name</v>
      </c>
      <c r="C14" s="76" t="str">
        <f>VLOOKUP($A14,'START HERE'!$A$13:$C$21,3,0)&amp;""</f>
        <v/>
      </c>
      <c r="D14" s="32"/>
      <c r="E14" s="32"/>
      <c r="F14" s="50"/>
      <c r="I14" s="35"/>
      <c r="J14" s="35"/>
    </row>
    <row r="15" spans="1:12" s="1" customFormat="1" ht="22.35" customHeight="1" x14ac:dyDescent="0.2">
      <c r="A15" s="19" t="s">
        <v>25</v>
      </c>
      <c r="B15" s="20" t="str">
        <f>VLOOKUP($A15,Questions!$A$2:$X$333,2,0)&amp;""</f>
        <v>Solution Description</v>
      </c>
      <c r="C15" s="76" t="str">
        <f>VLOOKUP($A15,'START HERE'!$A$13:$C$21,3,0)&amp;""</f>
        <v/>
      </c>
      <c r="D15" s="32"/>
      <c r="E15" s="32"/>
      <c r="F15" s="50"/>
      <c r="I15" s="35"/>
      <c r="J15" s="35"/>
    </row>
    <row r="16" spans="1:12" s="1" customFormat="1" ht="22.35" customHeight="1" thickBot="1" x14ac:dyDescent="0.25">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25">
      <c r="A17" s="63" t="str">
        <f>VLOOKUP(LEFT($A18,4),'Auto Responses'!$N$4:$O$38,2,0)&amp;""</f>
        <v xml:space="preserve"> Required Questions</v>
      </c>
      <c r="B17" s="22"/>
      <c r="C17" s="13" t="s">
        <v>1497</v>
      </c>
      <c r="D17" s="13"/>
      <c r="E17" s="31" t="s">
        <v>848</v>
      </c>
      <c r="F17" s="187" t="s">
        <v>849</v>
      </c>
      <c r="I17" s="35"/>
      <c r="J17" s="35"/>
    </row>
    <row r="18" spans="1:10" s="1" customFormat="1" ht="43.5" thickBot="1" x14ac:dyDescent="0.25">
      <c r="A18" s="19" t="s">
        <v>48</v>
      </c>
      <c r="B18" s="18" t="str">
        <f>VLOOKUP($A18,Questions!$A$2:$X$333,2,0)</f>
        <v>Are you offering a cloud-based product?</v>
      </c>
      <c r="C18" s="73" t="str">
        <f>VLOOKUP($A18,'START HERE'!$A$23:$F$36,3,0)&amp;""</f>
        <v/>
      </c>
      <c r="D18" s="315" t="str">
        <f>VLOOKUP($A18,'START HERE'!$A$23:$F$36,4,0)&amp;""</f>
        <v/>
      </c>
      <c r="E18" s="167" t="str">
        <f>IF($C18='Auto Responses'!$J$3,VLOOKUP($A18,Questions!$A$2:$X$333,17,0)&amp;"",IF($C18='Auto Responses'!$J$4,VLOOKUP($A18,Questions!$A$2:$X$333,16,0)&amp;"",VLOOKUP($A18,Questions!$A$2:$X$333,15,0)&amp;""))</f>
        <v>If you are only offering a service, or are offering a product that is not cloud-based, answer "no".</v>
      </c>
      <c r="F18" s="201" t="str">
        <f>VLOOKUP($A18,'Institution Evaluation'!$A$56:$F$345,6,0)&amp;""</f>
        <v/>
      </c>
      <c r="G18" s="238" t="s">
        <v>1449</v>
      </c>
      <c r="I18" s="35"/>
      <c r="J18" s="35"/>
    </row>
    <row r="19" spans="1:10" s="1" customFormat="1" ht="37.35" customHeight="1" thickBot="1" x14ac:dyDescent="0.25">
      <c r="A19" s="63" t="str">
        <f>VLOOKUP(LEFT($A20,4),'Auto Responses'!$N$4:$O$38,2,0)&amp;""</f>
        <v xml:space="preserve"> Application/Service Security</v>
      </c>
      <c r="B19" s="22"/>
      <c r="C19" s="13" t="s">
        <v>1497</v>
      </c>
      <c r="D19" s="13" t="s">
        <v>72</v>
      </c>
      <c r="E19" s="31" t="s">
        <v>848</v>
      </c>
      <c r="F19" s="187" t="s">
        <v>849</v>
      </c>
      <c r="I19" s="35"/>
      <c r="J19" s="35"/>
    </row>
    <row r="20" spans="1:10" s="1" customFormat="1" ht="97.5" customHeight="1" x14ac:dyDescent="0.2">
      <c r="A20" s="19" t="s">
        <v>161</v>
      </c>
      <c r="B20" s="18" t="str">
        <f>VLOOKUP($A20,Questions!$A$2:$X$333,2,0)</f>
        <v>Are access controls for institutional accounts based on structured rules, such as role-based access control (RBAC), attribute-based access control (ABAC), or policy-based access control (PBAC)?*</v>
      </c>
      <c r="C20" s="21"/>
      <c r="D20" s="316"/>
      <c r="E20" s="167" t="str">
        <f>IF($C$18='Auto Responses'!$J$4,'Auto Responses'!$A$3,IF($C20='Auto Responses'!$J$3,VLOOKUP($A20,Questions!$A$2:$X$333,17,0)&amp;"",IF($C20='Auto Responses'!$J$4,VLOOKUP($A20,Questions!$A$2:$X$333,16,0)&amp;"",VLOOKUP($A20,Questions!$A$2:$X$333,15,0)&amp;"")))</f>
        <v>This includes end users, administrators, service accounts, etc. PBAC would include various dynamic controls such as conditional access, risk-based access, location-based access, or system activity–based access.</v>
      </c>
      <c r="F20" s="201" t="str">
        <f>VLOOKUP($A20,'Institution Evaluation'!$A$56:$F$345,6,0)&amp;""</f>
        <v/>
      </c>
      <c r="I20" s="35"/>
      <c r="J20" s="35"/>
    </row>
    <row r="21" spans="1:10" s="1" customFormat="1" ht="120.75" customHeight="1" x14ac:dyDescent="0.2">
      <c r="A21" s="19" t="s">
        <v>166</v>
      </c>
      <c r="B21" s="18" t="str">
        <f>VLOOKUP($A21,Questions!$A$2:$X$333,2,0)</f>
        <v>Are you using a web application firewall (WAF)?*</v>
      </c>
      <c r="C21" s="21"/>
      <c r="D21" s="316"/>
      <c r="E21" s="167" t="str">
        <f>IF($C$18='Auto Responses'!$J$4,'Auto Responses'!$A$3,IF($C21='Auto Responses'!$J$3,VLOOKUP($A21,Questions!$A$2:$X$333,17,0)&amp;"",IF($C21='Auto Responses'!$J$4,VLOOKUP($A21,Questions!$A$2:$X$333,16,0)&amp;"",VLOOKUP($A21,Questions!$A$2:$X$333,15,0)&amp;"")))</f>
        <v/>
      </c>
      <c r="F21" s="201" t="str">
        <f>VLOOKUP($A21,'Institution Evaluation'!$A$56:$F$345,6,0)&amp;""</f>
        <v/>
      </c>
      <c r="I21" s="35"/>
      <c r="J21" s="35"/>
    </row>
    <row r="22" spans="1:10" s="1" customFormat="1" ht="66.75" customHeight="1" x14ac:dyDescent="0.2">
      <c r="A22" s="19" t="s">
        <v>170</v>
      </c>
      <c r="B22" s="18" t="str">
        <f>VLOOKUP($A22,Questions!$A$2:$X$333,2,0)</f>
        <v>Are only currently supported operating system(s), software, and libraries leveraged by the system(s)/application(s) that will have access to institution's data?*</v>
      </c>
      <c r="C22" s="21"/>
      <c r="D22" s="316"/>
      <c r="E22" s="167" t="str">
        <f>IF($C$18='Auto Responses'!$J$4,'Auto Responses'!$A$3,IF($C22='Auto Responses'!$J$3,VLOOKUP($A22,Questions!$A$2:$X$333,17,0)&amp;"",IF($C22='Auto Responses'!$J$4,VLOOKUP($A22,Questions!$A$2:$X$333,16,0)&amp;"",VLOOKUP($A22,Questions!$A$2:$X$333,15,0)&amp;"")))</f>
        <v>If the web application only works with a subset of modern supported browsers, please indicate that here.</v>
      </c>
      <c r="F22" s="201" t="str">
        <f>VLOOKUP($A22,'Institution Evaluation'!$A$56:$F$345,6,0)&amp;""</f>
        <v/>
      </c>
      <c r="I22" s="35"/>
      <c r="J22" s="35"/>
    </row>
    <row r="23" spans="1:10" s="1" customFormat="1" ht="38.25" customHeight="1" x14ac:dyDescent="0.2">
      <c r="A23" s="19" t="s">
        <v>175</v>
      </c>
      <c r="B23" s="18" t="str">
        <f>VLOOKUP($A23,Questions!$A$2:$X$333,2,0)</f>
        <v>Does your application require access to location or GPS data?*</v>
      </c>
      <c r="C23" s="21"/>
      <c r="D23" s="316"/>
      <c r="E23" s="167" t="str">
        <f>IF($C$18='Auto Responses'!$J$4,'Auto Responses'!$A$3,IF($C23='Auto Responses'!$J$3,VLOOKUP($A23,Questions!$A$2:$X$333,17,0)&amp;"",IF($C23='Auto Responses'!$J$4,VLOOKUP($A23,Questions!$A$2:$X$333,16,0)&amp;"",VLOOKUP($A23,Questions!$A$2:$X$333,15,0)&amp;"")))</f>
        <v/>
      </c>
      <c r="F23" s="201" t="str">
        <f>VLOOKUP($A23,'Institution Evaluation'!$A$56:$F$345,6,0)&amp;""</f>
        <v/>
      </c>
      <c r="I23" s="35"/>
      <c r="J23" s="35"/>
    </row>
    <row r="24" spans="1:10" s="1" customFormat="1" ht="50.25" customHeight="1" x14ac:dyDescent="0.2">
      <c r="A24" s="19" t="s">
        <v>178</v>
      </c>
      <c r="B24" s="18" t="str">
        <f>VLOOKUP($A24,Questions!$A$2:$X$333,2,0)</f>
        <v>Does your application provide separation of duties between security administration, system administration, and standard user functions?*</v>
      </c>
      <c r="C24" s="21"/>
      <c r="D24" s="316"/>
      <c r="E24" s="167" t="str">
        <f>IF($C$18='Auto Responses'!$J$4,'Auto Responses'!$A$3,IF($C24='Auto Responses'!$J$3,VLOOKUP($A24,Questions!$A$2:$X$333,17,0)&amp;"",IF($C24='Auto Responses'!$J$4,VLOOKUP($A24,Questions!$A$2:$X$333,16,0)&amp;"",VLOOKUP($A24,Questions!$A$2:$X$333,15,0)&amp;"")))</f>
        <v/>
      </c>
      <c r="F24" s="201" t="str">
        <f>VLOOKUP($A24,'Institution Evaluation'!$A$56:$F$345,6,0)&amp;""</f>
        <v/>
      </c>
      <c r="I24" s="35"/>
      <c r="J24" s="35"/>
    </row>
    <row r="25" spans="1:10" s="1" customFormat="1" ht="57.75" customHeight="1" x14ac:dyDescent="0.2">
      <c r="A25" s="19" t="s">
        <v>182</v>
      </c>
      <c r="B25" s="18" t="str">
        <f>VLOOKUP($A25,Questions!$A$2:$X$333,2,0)</f>
        <v>Do you subject your code to static code analysis and/or static application security testing prior to release?*</v>
      </c>
      <c r="C25" s="21"/>
      <c r="D25" s="316"/>
      <c r="E25" s="167" t="str">
        <f>IF($C$18='Auto Responses'!$J$4,'Auto Responses'!$A$3,IF($C25='Auto Responses'!$J$3,VLOOKUP($A25,Questions!$A$2:$X$333,17,0)&amp;"",IF($C25='Auto Responses'!$J$4,VLOOKUP($A25,Questions!$A$2:$X$333,16,0)&amp;"",VLOOKUP($A25,Questions!$A$2:$X$333,15,0)&amp;"")))</f>
        <v/>
      </c>
      <c r="F25" s="201" t="str">
        <f>VLOOKUP($A25,'Institution Evaluation'!$A$56:$F$345,6,0)&amp;""</f>
        <v/>
      </c>
      <c r="I25" s="35"/>
      <c r="J25" s="35"/>
    </row>
    <row r="26" spans="1:10" s="1" customFormat="1" ht="38.25" customHeight="1" x14ac:dyDescent="0.2">
      <c r="A26" s="19" t="s">
        <v>186</v>
      </c>
      <c r="B26" s="18" t="str">
        <f>VLOOKUP($A26,Questions!$A$2:$X$333,2,0)</f>
        <v>Do you have software testing processes (dynamic or static) that are established and followed?*</v>
      </c>
      <c r="C26" s="21"/>
      <c r="D26" s="316"/>
      <c r="E26" s="167" t="str">
        <f>IF($C$18='Auto Responses'!$J$4,'Auto Responses'!$A$3,IF($C26='Auto Responses'!$J$3,VLOOKUP($A26,Questions!$A$2:$X$333,17,0)&amp;"",IF($C26='Auto Responses'!$J$4,VLOOKUP($A26,Questions!$A$2:$X$333,16,0)&amp;"",VLOOKUP($A26,Questions!$A$2:$X$333,15,0)&amp;"")))</f>
        <v/>
      </c>
      <c r="F26" s="201" t="str">
        <f>VLOOKUP($A26,'Institution Evaluation'!$A$56:$F$345,6,0)&amp;""</f>
        <v/>
      </c>
      <c r="I26" s="35"/>
      <c r="J26" s="35"/>
    </row>
    <row r="27" spans="1:10" s="1" customFormat="1" ht="111" customHeight="1" x14ac:dyDescent="0.2">
      <c r="A27" s="19" t="s">
        <v>191</v>
      </c>
      <c r="B27" s="18" t="str">
        <f>VLOOKUP($A27,Questions!$A$2:$X$333,2,0)</f>
        <v>Are access controls for staff within your organization based on structured rules, such as RBAC, ABAC, or PBAC?</v>
      </c>
      <c r="C27" s="21"/>
      <c r="D27" s="316"/>
      <c r="E27" s="167" t="str">
        <f>IF($C$18='Auto Responses'!$J$4,'Auto Responses'!$A$3,IF($C27='Auto Responses'!$J$3,VLOOKUP($A27,Questions!$A$2:$X$333,17,0)&amp;"",IF($C27='Auto Responses'!$J$4,VLOOKUP($A27,Questions!$A$2:$X$333,16,0)&amp;"",VLOOKUP($A27,Questions!$A$2:$X$333,15,0)&amp;"")))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201" t="str">
        <f>VLOOKUP($A27,'Institution Evaluation'!$A$56:$F$345,6,0)&amp;""</f>
        <v/>
      </c>
      <c r="I27" s="35"/>
      <c r="J27" s="35"/>
    </row>
    <row r="28" spans="1:10" s="1" customFormat="1" ht="38.25" customHeight="1" x14ac:dyDescent="0.2">
      <c r="A28" s="19" t="s">
        <v>195</v>
      </c>
      <c r="B28" s="18" t="str">
        <f>VLOOKUP($A28,Questions!$A$2:$X$333,2,0)</f>
        <v>Does the system provide data input validation and error messages?</v>
      </c>
      <c r="C28" s="21"/>
      <c r="D28" s="316"/>
      <c r="E28" s="167" t="str">
        <f>IF($C$18='Auto Responses'!$J$4,'Auto Responses'!$A$3,IF($C28='Auto Responses'!$J$3,VLOOKUP($A28,Questions!$A$2:$X$333,17,0)&amp;"",IF($C28='Auto Responses'!$J$4,VLOOKUP($A28,Questions!$A$2:$X$333,16,0)&amp;"",VLOOKUP($A28,Questions!$A$2:$X$333,15,0)&amp;"")))</f>
        <v/>
      </c>
      <c r="F28" s="201" t="str">
        <f>VLOOKUP($A28,'Institution Evaluation'!$A$56:$F$345,6,0)&amp;""</f>
        <v/>
      </c>
      <c r="I28" s="35"/>
      <c r="J28" s="35"/>
    </row>
    <row r="29" spans="1:10" s="1" customFormat="1" ht="51.75" customHeight="1" x14ac:dyDescent="0.2">
      <c r="A29" s="19" t="s">
        <v>198</v>
      </c>
      <c r="B29" s="18" t="str">
        <f>VLOOKUP($A29,Questions!$A$2:$X$333,2,0)</f>
        <v>Do you have a process and implemented procedures for managing your software supply chain (e.g., libraries, repositories, frameworks, etc.)?</v>
      </c>
      <c r="C29" s="21"/>
      <c r="D29" s="316"/>
      <c r="E29" s="167" t="str">
        <f>IF($C$18='Auto Responses'!$J$4,'Auto Responses'!$A$3,IF($C29='Auto Responses'!$J$3,VLOOKUP($A29,Questions!$A$2:$X$333,17,0)&amp;"",IF($C29='Auto Responses'!$J$4,VLOOKUP($A29,Questions!$A$2:$X$333,16,0)&amp;"",VLOOKUP($A29,Questions!$A$2:$X$333,15,0)&amp;"")))</f>
        <v>Include any in-house developed or contract development.</v>
      </c>
      <c r="F29" s="201" t="str">
        <f>VLOOKUP($A29,'Institution Evaluation'!$A$56:$F$345,6,0)&amp;""</f>
        <v/>
      </c>
      <c r="I29" s="35"/>
      <c r="J29" s="35"/>
    </row>
    <row r="30" spans="1:10" s="1" customFormat="1" ht="38.25" customHeight="1" x14ac:dyDescent="0.2">
      <c r="A30" s="19" t="s">
        <v>202</v>
      </c>
      <c r="B30" s="18" t="str">
        <f>VLOOKUP($A30,Questions!$A$2:$X$333,2,0)</f>
        <v>Have your developers been trained in secure coding techniques?</v>
      </c>
      <c r="C30" s="21"/>
      <c r="D30" s="316"/>
      <c r="E30" s="167" t="str">
        <f>IF($C$18='Auto Responses'!$J$4,'Auto Responses'!$A$3,IF($C30='Auto Responses'!$J$3,VLOOKUP($A30,Questions!$A$2:$X$333,17,0)&amp;"",IF($C30='Auto Responses'!$J$4,VLOOKUP($A30,Questions!$A$2:$X$333,16,0)&amp;"",VLOOKUP($A30,Questions!$A$2:$X$333,15,0)&amp;"")))</f>
        <v/>
      </c>
      <c r="F30" s="201" t="str">
        <f>VLOOKUP($A30,'Institution Evaluation'!$A$56:$F$345,6,0)&amp;""</f>
        <v/>
      </c>
      <c r="I30" s="35"/>
      <c r="J30" s="35"/>
    </row>
    <row r="31" spans="1:10" s="1" customFormat="1" ht="45.75" customHeight="1" x14ac:dyDescent="0.2">
      <c r="A31" s="19" t="s">
        <v>206</v>
      </c>
      <c r="B31" s="18" t="str">
        <f>VLOOKUP($A31,Questions!$A$2:$X$333,2,0)</f>
        <v>Was your application developed using secure coding techniques?</v>
      </c>
      <c r="C31" s="21"/>
      <c r="D31" s="317"/>
      <c r="E31" s="167" t="str">
        <f>IF($C$18='Auto Responses'!$J$4,'Auto Responses'!$A$3,IF($C31='Auto Responses'!$J$3,VLOOKUP($A31,Questions!$A$2:$X$333,17,0)&amp;"",IF($C31='Auto Responses'!$J$4,VLOOKUP($A31,Questions!$A$2:$X$333,16,0)&amp;"",VLOOKUP($A31,Questions!$A$2:$X$333,15,0)&amp;"")))</f>
        <v/>
      </c>
      <c r="F31" s="201" t="str">
        <f>VLOOKUP($A31,'Institution Evaluation'!$A$56:$F$345,6,0)&amp;""</f>
        <v/>
      </c>
      <c r="I31" s="35"/>
      <c r="J31" s="35"/>
    </row>
    <row r="32" spans="1:10" s="1" customFormat="1" ht="48" customHeight="1" x14ac:dyDescent="0.2">
      <c r="A32" s="19" t="s">
        <v>210</v>
      </c>
      <c r="B32" s="18" t="str">
        <f>VLOOKUP($A32,Questions!$A$2:$X$333,2,0)</f>
        <v>If mobile, is the application available from a trusted source (e.g., App Store, Google Play Store)?</v>
      </c>
      <c r="C32" s="21"/>
      <c r="D32" s="317"/>
      <c r="E32" s="167" t="str">
        <f>IF($C$18='Auto Responses'!$J$4,'Auto Responses'!$A$3,IF($C32='Auto Responses'!$J$3,VLOOKUP($A32,Questions!$A$2:$X$333,17,0)&amp;"",IF($C32='Auto Responses'!$J$4,VLOOKUP($A32,Questions!$A$2:$X$333,16,0)&amp;"",IF($C32='Auto Responses'!$J$5,VLOOKUP($A32,Questions!$A$2:$X$333,18,0)&amp;"",VLOOKUP($A32,Questions!$A$2:$X$333,15,0)&amp;""))))</f>
        <v>Select N/A if there is no mobile version of your app.</v>
      </c>
      <c r="F32" s="201" t="str">
        <f>VLOOKUP($A32,'Institution Evaluation'!$A$56:$F$345,6,0)&amp;""</f>
        <v/>
      </c>
      <c r="I32" s="35"/>
      <c r="J32" s="35"/>
    </row>
    <row r="33" spans="1:10" s="1" customFormat="1" ht="61.5" customHeight="1" thickBot="1" x14ac:dyDescent="0.25">
      <c r="A33" s="19" t="s">
        <v>213</v>
      </c>
      <c r="B33" s="18" t="str">
        <f>VLOOKUP($A33,Questions!$A$2:$X$333,2,0)</f>
        <v>Do you have a fully implemented policy or procedure that details how your employees obtain administrator access to institutional instance of the application?</v>
      </c>
      <c r="C33" s="21"/>
      <c r="D33" s="317"/>
      <c r="E33" s="167" t="str">
        <f>IF($C$18='Auto Responses'!$J$4,'Auto Responses'!$A$3,IF($C33='Auto Responses'!$J$3,VLOOKUP($A33,Questions!$A$2:$X$333,17,0)&amp;"",IF($C33='Auto Responses'!$J$4,VLOOKUP($A33,Questions!$A$2:$X$333,16,0)&amp;"",VLOOKUP($A33,Questions!$A$2:$X$333,15,0)&amp;"")))</f>
        <v/>
      </c>
      <c r="F33" s="201" t="str">
        <f>VLOOKUP($A33,'Institution Evaluation'!$A$56:$F$345,6,0)&amp;""</f>
        <v/>
      </c>
      <c r="G33" s="238" t="s">
        <v>1449</v>
      </c>
      <c r="I33" s="35"/>
      <c r="J33" s="35"/>
    </row>
    <row r="34" spans="1:10" s="1" customFormat="1" ht="37.35" customHeight="1" thickBot="1" x14ac:dyDescent="0.25">
      <c r="A34" s="63" t="str">
        <f>VLOOKUP(LEFT($A35,4),'Auto Responses'!$N$4:$O$38,2,0)&amp;""</f>
        <v xml:space="preserve"> Datacenter</v>
      </c>
      <c r="B34" s="22"/>
      <c r="C34" s="13" t="s">
        <v>1497</v>
      </c>
      <c r="D34" s="13" t="s">
        <v>72</v>
      </c>
      <c r="E34" s="31" t="s">
        <v>848</v>
      </c>
      <c r="F34" s="187" t="s">
        <v>849</v>
      </c>
      <c r="I34" s="35"/>
      <c r="J34" s="35"/>
    </row>
    <row r="35" spans="1:10" s="1" customFormat="1" ht="84" customHeight="1" x14ac:dyDescent="0.2">
      <c r="A35" s="19" t="s">
        <v>407</v>
      </c>
      <c r="B35" s="18" t="str">
        <f>VLOOKUP($A35,Questions!$A$2:$X$333,2,0)</f>
        <v>Select your hosting option.</v>
      </c>
      <c r="C35" s="74"/>
      <c r="D35" s="317"/>
      <c r="E35" s="167" t="str">
        <f>IF(OR($C35="",$C35="Other"),VLOOKUP($A35,Questions!$A$2:$X$333,15,0),"")&amp;""</f>
        <v>If you are using an option not listed, or a combination of options, select "Other." Your selection here will determine which questions below are required.</v>
      </c>
      <c r="F35" s="201" t="str">
        <f>VLOOKUP($A35,'Institution Evaluation'!$A$56:$F$345,6,0)&amp;""</f>
        <v/>
      </c>
      <c r="I35" s="35"/>
      <c r="J35" s="35"/>
    </row>
    <row r="36" spans="1:10" s="1" customFormat="1" ht="53.25" customHeight="1" x14ac:dyDescent="0.2">
      <c r="A36" s="19" t="s">
        <v>412</v>
      </c>
      <c r="B36" s="18" t="str">
        <f>VLOOKUP($A36,Questions!$A$2:$X$333,2,0)</f>
        <v>Is a SOC 2 Type 2 report available for the hosting environment?</v>
      </c>
      <c r="C36" s="21"/>
      <c r="D36" s="317"/>
      <c r="E36" s="167" t="str">
        <f>IF($C$35="","",IF(OR($C$35='Auto Responses'!$J$20,$C$35='Auto Responses'!$J$21,$C$35='Auto Responses'!$J$22),'Auto Responses'!$A$26,IF($C36='Auto Responses'!$J$3,VLOOKUP($A36,Questions!$A$2:$X$333,17,0)&amp;"",IF($C36='Auto Responses'!$J$4,VLOOKUP($A36,Questions!$A$2:$X$333,16,0)&amp;"",VLOOKUP($A36,Questions!$A$2:$X$333,15,0)&amp;""))))</f>
        <v/>
      </c>
      <c r="F36" s="201" t="str">
        <f>VLOOKUP($A36,'Institution Evaluation'!$A$56:$F$345,6,0)&amp;""</f>
        <v/>
      </c>
      <c r="I36" s="35"/>
      <c r="J36" s="35"/>
    </row>
    <row r="37" spans="1:10" s="1" customFormat="1" ht="58.5" customHeight="1" x14ac:dyDescent="0.2">
      <c r="A37" s="19" t="s">
        <v>414</v>
      </c>
      <c r="B37" s="18" t="str">
        <f>VLOOKUP($A37,Questions!$A$2:$X$333,2,0)</f>
        <v>Are you generally able to accommodate storing each institution's data within its geographic region?</v>
      </c>
      <c r="C37" s="21"/>
      <c r="D37" s="317"/>
      <c r="E37" s="167" t="str">
        <f>IF($C$35="","",IF($C37='Auto Responses'!$J$3,VLOOKUP($A37,Questions!$A$2:$X$333,17,0)&amp;"",IF($C37='Auto Responses'!$J$4,VLOOKUP($A37,Questions!$A$2:$X$333,16,0)&amp;"",VLOOKUP($A37,Questions!$A$2:$X$333,15,0)&amp;"")))</f>
        <v/>
      </c>
      <c r="F37" s="201" t="str">
        <f>VLOOKUP($A37,'Institution Evaluation'!$A$56:$F$345,6,0)&amp;""</f>
        <v/>
      </c>
      <c r="I37" s="35"/>
      <c r="J37" s="35"/>
    </row>
    <row r="38" spans="1:10" s="1" customFormat="1" ht="53.25" customHeight="1" x14ac:dyDescent="0.2">
      <c r="A38" s="19" t="s">
        <v>417</v>
      </c>
      <c r="B38" s="18" t="str">
        <f>VLOOKUP($A38,Questions!$A$2:$X$333,2,0)</f>
        <v>Are the data centers staffed 24 hours a day, seven days a week (i.e., 24 x 7 x 365)?</v>
      </c>
      <c r="C38" s="21"/>
      <c r="D38" s="317"/>
      <c r="E38" s="167" t="str">
        <f>IF($C$35="","",IF(OR($C$35='Auto Responses'!$J$20,$C$35='Auto Responses'!$J$21,$C$35='Auto Responses'!$J$22),'Auto Responses'!$A$26,IF($C38='Auto Responses'!$J$3,VLOOKUP($A38,Questions!$A$2:$X$333,17,0)&amp;"",IF($C38='Auto Responses'!$J$4,VLOOKUP($A38,Questions!$A$2:$X$333,16,0)&amp;"",VLOOKUP($A38,Questions!$A$2:$X$333,15,0)&amp;""))))</f>
        <v/>
      </c>
      <c r="F38" s="201" t="str">
        <f>VLOOKUP($A38,'Institution Evaluation'!$A$56:$F$345,6,0)&amp;""</f>
        <v/>
      </c>
      <c r="I38" s="35"/>
      <c r="J38" s="35"/>
    </row>
    <row r="39" spans="1:10" s="1" customFormat="1" ht="55.5" customHeight="1" x14ac:dyDescent="0.2">
      <c r="A39" s="19" t="s">
        <v>422</v>
      </c>
      <c r="B39" s="18" t="str">
        <f>VLOOKUP($A39,Questions!$A$2:$X$333,2,0)</f>
        <v>Are your servers separated from other companies via a physical barrier, such as a cage or hard walls?</v>
      </c>
      <c r="C39" s="21"/>
      <c r="D39" s="317"/>
      <c r="E39" s="167" t="str">
        <f>IF($C$35="","",IF(OR($C$35='Auto Responses'!$J$17,$C$35='Auto Responses'!$J$19,$C$35='Auto Responses'!$J$20,$C$35='Auto Responses'!$J$21,$C$35='Auto Responses'!$J$22),'Auto Responses'!$A$26,IF($C39='Auto Responses'!$J$3,VLOOKUP($A39,Questions!$A$2:$X$333,17,0)&amp;"",IF($C39='Auto Responses'!$J$4,VLOOKUP($A39,Questions!$A$2:$X$333,16,0)&amp;"",VLOOKUP($A39,Questions!$A$2:$X$333,15,0)&amp;""))))</f>
        <v/>
      </c>
      <c r="F39" s="201" t="str">
        <f>VLOOKUP($A39,'Institution Evaluation'!$A$56:$F$345,6,0)&amp;""</f>
        <v/>
      </c>
      <c r="I39" s="35"/>
      <c r="J39" s="35"/>
    </row>
    <row r="40" spans="1:10" s="1" customFormat="1" ht="56.25" customHeight="1" x14ac:dyDescent="0.2">
      <c r="A40" s="19" t="s">
        <v>425</v>
      </c>
      <c r="B40" s="18" t="str">
        <f>VLOOKUP($A40,Questions!$A$2:$X$333,2,0)</f>
        <v>Does a physical barrier fully enclose the physical space, preventing unauthorized physical contact with any of your devices?*</v>
      </c>
      <c r="C40" s="21"/>
      <c r="D40" s="317"/>
      <c r="E40" s="167" t="str">
        <f>IF($C$35="","",IF(OR($C$35='Auto Responses'!$J$19,$C$35='Auto Responses'!$J$20,$C$35='Auto Responses'!$J$21,$C$35='Auto Responses'!$J$22),'Auto Responses'!$A$26,IF($C40='Auto Responses'!$J$3,VLOOKUP($A40,Questions!$A$2:$X$333,17,0)&amp;"",IF($C40='Auto Responses'!$J$4,VLOOKUP($A40,Questions!$A$2:$X$333,16,0)&amp;"",VLOOKUP($A40,Questions!$A$2:$X$333,15,0)&amp;""))))</f>
        <v/>
      </c>
      <c r="F40" s="201" t="str">
        <f>VLOOKUP($A40,'Institution Evaluation'!$A$56:$F$345,6,0)&amp;""</f>
        <v/>
      </c>
      <c r="I40" s="35"/>
      <c r="J40" s="35"/>
    </row>
    <row r="41" spans="1:10" s="1" customFormat="1" ht="48.75" customHeight="1" x14ac:dyDescent="0.2">
      <c r="A41" s="19" t="s">
        <v>427</v>
      </c>
      <c r="B41" s="18" t="str">
        <f>VLOOKUP($A41,Questions!$A$2:$X$333,2,0)</f>
        <v>Are your primary and secondary data centers geographically diverse?</v>
      </c>
      <c r="C41" s="21"/>
      <c r="D41" s="317"/>
      <c r="E41" s="167" t="str">
        <f>IF($C$35="","",IF($C41='Auto Responses'!$J$3,VLOOKUP($A41,Questions!$A$2:$X$333,17,0)&amp;"",IF($C41='Auto Responses'!$J$4,VLOOKUP($A41,Questions!$A$2:$X$333,16,0)&amp;"",VLOOKUP($A41,Questions!$A$2:$X$333,15,0)&amp;"")))</f>
        <v/>
      </c>
      <c r="F41" s="201" t="str">
        <f>VLOOKUP($A41,'Institution Evaluation'!$A$56:$F$345,6,0)&amp;""</f>
        <v/>
      </c>
      <c r="I41" s="35"/>
      <c r="J41" s="35"/>
    </row>
    <row r="42" spans="1:10" s="1" customFormat="1" ht="48" customHeight="1" x14ac:dyDescent="0.2">
      <c r="A42" s="19" t="s">
        <v>432</v>
      </c>
      <c r="B42" s="18" t="str">
        <f>VLOOKUP($A42,Questions!$A$2:$X$333,2,0)</f>
        <v>Is the service hosted in a high-availability environment?</v>
      </c>
      <c r="C42" s="21"/>
      <c r="D42" s="317"/>
      <c r="E42" s="167" t="str">
        <f>IF($C$35="","",IF($C42='Auto Responses'!$J$3,VLOOKUP($A42,Questions!$A$2:$X$333,17,0)&amp;"",IF($C42='Auto Responses'!$J$4,VLOOKUP($A42,Questions!$A$2:$X$333,16,0)&amp;"",VLOOKUP($A42,Questions!$A$2:$X$333,15,0)&amp;"")))</f>
        <v/>
      </c>
      <c r="F42" s="201" t="str">
        <f>VLOOKUP($A42,'Institution Evaluation'!$A$56:$F$345,6,0)&amp;""</f>
        <v/>
      </c>
      <c r="I42" s="35"/>
      <c r="J42" s="35"/>
    </row>
    <row r="43" spans="1:10" s="1" customFormat="1" ht="55.5" customHeight="1" x14ac:dyDescent="0.2">
      <c r="A43" s="19" t="s">
        <v>433</v>
      </c>
      <c r="B43" s="18" t="str">
        <f>VLOOKUP($A43,Questions!$A$2:$X$333,2,0)</f>
        <v>Is redundant power available for all data centers where institutional data will reside?</v>
      </c>
      <c r="C43" s="21"/>
      <c r="D43" s="317"/>
      <c r="E43" s="167" t="str">
        <f>IF($C$35="","",IF(OR($C$35='Auto Responses'!$J$20,$C$35='Auto Responses'!$J$21,$C$35='Auto Responses'!$J$22),'Auto Responses'!$A$26,IF($C43='Auto Responses'!$J$3,VLOOKUP($A43,Questions!$A$2:$X$333,17,0)&amp;"",IF($C43='Auto Responses'!$J$4,VLOOKUP($A43,Questions!$A$2:$X$333,16,0)&amp;"",VLOOKUP($A43,Questions!$A$2:$X$333,15,0)&amp;""))))</f>
        <v/>
      </c>
      <c r="F43" s="201" t="str">
        <f>VLOOKUP($A43,'Institution Evaluation'!$A$56:$F$345,6,0)&amp;""</f>
        <v/>
      </c>
      <c r="I43" s="35"/>
      <c r="J43" s="35"/>
    </row>
    <row r="44" spans="1:10" s="1" customFormat="1" ht="56.25" customHeight="1" x14ac:dyDescent="0.2">
      <c r="A44" s="19" t="s">
        <v>434</v>
      </c>
      <c r="B44" s="18" t="str">
        <f>VLOOKUP($A44,Questions!$A$2:$X$333,2,0)</f>
        <v>Are redundant power strategies tested?*</v>
      </c>
      <c r="C44" s="21"/>
      <c r="D44" s="317"/>
      <c r="E44" s="167" t="str">
        <f>IF($C$35="","",IF(OR($C$35='Auto Responses'!$J$20,$C$35='Auto Responses'!$J$21,$C$35='Auto Responses'!$J$22),'Auto Responses'!$A$26,IF($C44='Auto Responses'!$J$3,VLOOKUP($A44,Questions!$A$2:$X$333,17,0)&amp;"",IF($C44='Auto Responses'!$J$4,VLOOKUP($A44,Questions!$A$2:$X$333,16,0)&amp;"",VLOOKUP($A44,Questions!$A$2:$X$333,15,0)&amp;""))))</f>
        <v/>
      </c>
      <c r="F44" s="201" t="str">
        <f>VLOOKUP($A44,'Institution Evaluation'!$A$56:$F$345,6,0)&amp;""</f>
        <v/>
      </c>
      <c r="I44" s="35"/>
      <c r="J44" s="35"/>
    </row>
    <row r="45" spans="1:10" s="1" customFormat="1" ht="60" customHeight="1" x14ac:dyDescent="0.2">
      <c r="A45" s="19" t="s">
        <v>439</v>
      </c>
      <c r="B45" s="18" t="str">
        <f>VLOOKUP($A45,Questions!$A$2:$X$333,2,0)</f>
        <v>Does the center where the data will reside have cooling and fire-suppression systems that are active and regularly tested?</v>
      </c>
      <c r="C45" s="21"/>
      <c r="D45" s="317"/>
      <c r="E45" s="167" t="str">
        <f>IF($C$35="","",IF(OR($C$35='Auto Responses'!$J$19,$C$35='Auto Responses'!$J$20,$C$35='Auto Responses'!$J$21,$C$35='Auto Responses'!$J$22,$C$35='Auto Responses'!$J$23),'Auto Responses'!$A$26,IF($C45='Auto Responses'!$J$3,VLOOKUP($A45,Questions!$A$2:$X$333,17,0)&amp;"",IF($C45='Auto Responses'!$J$4,VLOOKUP($A45,Questions!$A$2:$X$333,16,0)&amp;"",VLOOKUP($A45,Questions!$A$2:$X$333,15,0)&amp;""))))</f>
        <v/>
      </c>
      <c r="F45" s="201" t="str">
        <f>VLOOKUP($A45,'Institution Evaluation'!$A$56:$F$345,6,0)&amp;""</f>
        <v/>
      </c>
      <c r="I45" s="35"/>
      <c r="J45" s="35"/>
    </row>
    <row r="46" spans="1:10" s="1" customFormat="1" ht="55.5" customHeight="1" x14ac:dyDescent="0.2">
      <c r="A46" s="19" t="s">
        <v>442</v>
      </c>
      <c r="B46" s="18" t="str">
        <f>VLOOKUP($A46,Questions!$A$2:$X$333,2,0)</f>
        <v>Do you have Internet Service Provider (ISP) redundancy?</v>
      </c>
      <c r="C46" s="21"/>
      <c r="D46" s="317"/>
      <c r="E46" s="167" t="str">
        <f>IF($C$35="","",IF(OR($C$35='Auto Responses'!$J$20,$C$35='Auto Responses'!$J$21,$C$35='Auto Responses'!$J$22),'Auto Responses'!$A$26,IF($C46='Auto Responses'!$J$3,VLOOKUP($A46,Questions!$A$2:$X$333,17,0)&amp;"",IF($C46='Auto Responses'!$J$4,VLOOKUP($A46,Questions!$A$2:$X$333,16,0)&amp;"",VLOOKUP($A46,Questions!$A$2:$X$333,15,0)&amp;""))))</f>
        <v/>
      </c>
      <c r="F46" s="201" t="str">
        <f>VLOOKUP($A46,'Institution Evaluation'!$A$56:$F$345,6,0)&amp;""</f>
        <v/>
      </c>
      <c r="I46" s="35"/>
      <c r="J46" s="35"/>
    </row>
    <row r="47" spans="1:10" s="1" customFormat="1" ht="56.25" customHeight="1" x14ac:dyDescent="0.2">
      <c r="A47" s="19" t="s">
        <v>446</v>
      </c>
      <c r="B47" s="18" t="str">
        <f>VLOOKUP($A47,Questions!$A$2:$X$333,2,0)</f>
        <v>Does every data center where the institution's data will reside have multiple telephone company or network provider entrances to the facility?</v>
      </c>
      <c r="C47" s="21"/>
      <c r="D47" s="317"/>
      <c r="E47" s="167" t="str">
        <f>IF($C$35="","",IF(OR($C$35='Auto Responses'!$J$20,$C$35='Auto Responses'!$J$21,$C$35='Auto Responses'!$J$22),'Auto Responses'!$A$26,IF($C47='Auto Responses'!$J$3,VLOOKUP($A47,Questions!$A$2:$X$333,17,0)&amp;"",IF($C47='Auto Responses'!$J$4,VLOOKUP($A47,Questions!$A$2:$X$333,16,0)&amp;"",VLOOKUP($A47,Questions!$A$2:$X$333,15,0)&amp;""))))</f>
        <v/>
      </c>
      <c r="F47" s="201" t="str">
        <f>VLOOKUP($A47,'Institution Evaluation'!$A$56:$F$345,6,0)&amp;""</f>
        <v/>
      </c>
      <c r="I47" s="35"/>
      <c r="J47" s="35"/>
    </row>
    <row r="48" spans="1:10" s="1" customFormat="1" ht="49.5" customHeight="1" x14ac:dyDescent="0.2">
      <c r="A48" s="19" t="s">
        <v>448</v>
      </c>
      <c r="B48" s="18" t="str">
        <f>VLOOKUP($A48,Questions!$A$2:$X$333,2,0)</f>
        <v>Do you require multifactor authentication for all administrative accounts in your environment?</v>
      </c>
      <c r="C48" s="21"/>
      <c r="D48" s="317"/>
      <c r="E48" s="167" t="str">
        <f>IF($C$35="","",IF($C48='Auto Responses'!$J$3,VLOOKUP($A48,Questions!$A$2:$X$333,17,0)&amp;"",IF($C48='Auto Responses'!$J$4,VLOOKUP($A48,Questions!$A$2:$X$333,16,0)&amp;"",VLOOKUP($A48,Questions!$A$2:$X$333,15,0)&amp;"")))</f>
        <v/>
      </c>
      <c r="F48" s="201" t="str">
        <f>VLOOKUP($A48,'Institution Evaluation'!$A$56:$F$345,6,0)&amp;""</f>
        <v/>
      </c>
      <c r="I48" s="35"/>
      <c r="J48" s="35"/>
    </row>
    <row r="49" spans="1:10" s="1" customFormat="1" ht="54" customHeight="1" x14ac:dyDescent="0.2">
      <c r="A49" s="19" t="s">
        <v>452</v>
      </c>
      <c r="B49" s="18" t="str">
        <f>VLOOKUP($A49,Questions!$A$2:$X$333,2,0)</f>
        <v>Are you using your cloud provider's available hardening tools or pre-hardened images?</v>
      </c>
      <c r="C49" s="21"/>
      <c r="D49" s="317"/>
      <c r="E49" s="167" t="str">
        <f>IF($C$35="","",IF(OR($C$35='Auto Responses'!$J$17,$C$35='Auto Responses'!$J$18),'Auto Responses'!$A$26,IF($C49='Auto Responses'!$J$3,VLOOKUP($A49,Questions!$A$2:$X$333,17,0)&amp;"",IF($C49='Auto Responses'!$J$4,VLOOKUP($A49,Questions!$A$2:$X$333,16,0)&amp;"",VLOOKUP($A49,Questions!$A$2:$X$333,15,0)&amp;""))))</f>
        <v/>
      </c>
      <c r="F49" s="201" t="str">
        <f>VLOOKUP($A49,'Institution Evaluation'!$A$56:$F$345,6,0)&amp;""</f>
        <v/>
      </c>
      <c r="I49" s="35"/>
      <c r="J49" s="35"/>
    </row>
    <row r="50" spans="1:10" s="1" customFormat="1" ht="52.5" customHeight="1" thickBot="1" x14ac:dyDescent="0.25">
      <c r="A50" s="19" t="s">
        <v>456</v>
      </c>
      <c r="B50" s="18" t="str">
        <f>VLOOKUP($A50,Questions!$A$2:$X$333,2,0)</f>
        <v>Does your cloud solution provider have access to your encryption keys?</v>
      </c>
      <c r="C50" s="21"/>
      <c r="D50" s="317"/>
      <c r="E50" s="167" t="str">
        <f>IF($C$35="","",IF(OR($C$35='Auto Responses'!$J$17,$C$35='Auto Responses'!$J$18),'Auto Responses'!$A$26,IF($C50='Auto Responses'!$J$3,VLOOKUP($A50,Questions!$A$2:$X$333,17,0)&amp;"",IF($C50='Auto Responses'!$J$4,VLOOKUP($A50,Questions!$A$2:$X$333,16,0)&amp;"",VLOOKUP($A50,Questions!$A$2:$X$333,15,0)&amp;""))))</f>
        <v/>
      </c>
      <c r="F50" s="201" t="str">
        <f>VLOOKUP($A50,'Institution Evaluation'!$A$56:$F$345,6,0)&amp;""</f>
        <v/>
      </c>
      <c r="I50" s="35"/>
      <c r="J50" s="35"/>
    </row>
    <row r="51" spans="1:10" s="1" customFormat="1" ht="37.35" customHeight="1" thickBot="1" x14ac:dyDescent="0.25">
      <c r="A51" s="63" t="str">
        <f>VLOOKUP(LEFT($A52,4),'Auto Responses'!$N$4:$O$38,2,0)&amp;""</f>
        <v xml:space="preserve"> Firewalls, IDS, IPS, and Networking</v>
      </c>
      <c r="B51" s="22"/>
      <c r="C51" s="13" t="s">
        <v>1497</v>
      </c>
      <c r="D51" s="13" t="s">
        <v>72</v>
      </c>
      <c r="E51" s="31" t="s">
        <v>848</v>
      </c>
      <c r="F51" s="187" t="s">
        <v>849</v>
      </c>
      <c r="I51" s="35"/>
      <c r="J51" s="35"/>
    </row>
    <row r="52" spans="1:10" s="1" customFormat="1" ht="38.25" customHeight="1" x14ac:dyDescent="0.2">
      <c r="A52" s="19" t="s">
        <v>462</v>
      </c>
      <c r="B52" s="18" t="str">
        <f>VLOOKUP($A52,Questions!$A$2:$X$333,2,0)</f>
        <v>Are you utilizing a stateful packet inspection (SPI) firewall?*</v>
      </c>
      <c r="C52" s="21"/>
      <c r="D52" s="317"/>
      <c r="E52" s="167" t="str">
        <f>IF($C$18='Auto Responses'!$J$4,'Auto Responses'!$A$3,IF($C52='Auto Responses'!$J$3,VLOOKUP($A52,Questions!$A$2:$X$333,17,0)&amp;"",IF($C52='Auto Responses'!$J$4,VLOOKUP($A52,Questions!$A$2:$X$333,16,0)&amp;"",VLOOKUP($A52,Questions!$A$2:$X$333,15,0)&amp;"")))</f>
        <v/>
      </c>
      <c r="F52" s="201" t="str">
        <f>VLOOKUP($A52,'Institution Evaluation'!$A$56:$F$345,6,0)&amp;""</f>
        <v/>
      </c>
      <c r="I52" s="35"/>
      <c r="J52" s="35"/>
    </row>
    <row r="53" spans="1:10" s="1" customFormat="1" ht="38.25" customHeight="1" x14ac:dyDescent="0.2">
      <c r="A53" s="19" t="s">
        <v>465</v>
      </c>
      <c r="B53" s="18" t="str">
        <f>VLOOKUP($A53,Questions!$A$2:$X$333,2,0)</f>
        <v>Do you have a documented policy for firewall change requests?*</v>
      </c>
      <c r="C53" s="21"/>
      <c r="D53" s="317"/>
      <c r="E53" s="167" t="str">
        <f>IF($C$18='Auto Responses'!$J$4,'Auto Responses'!$A$3,IF($C53='Auto Responses'!$J$3,VLOOKUP($A53,Questions!$A$2:$X$333,17,0)&amp;"",IF($C53='Auto Responses'!$J$4,VLOOKUP($A53,Questions!$A$2:$X$333,16,0)&amp;"",VLOOKUP($A53,Questions!$A$2:$X$333,15,0)&amp;"")))</f>
        <v/>
      </c>
      <c r="F53" s="201" t="str">
        <f>VLOOKUP($A53,'Institution Evaluation'!$A$56:$F$345,6,0)&amp;""</f>
        <v/>
      </c>
      <c r="I53" s="35"/>
      <c r="J53" s="35"/>
    </row>
    <row r="54" spans="1:10" s="1" customFormat="1" ht="38.25" customHeight="1" x14ac:dyDescent="0.2">
      <c r="A54" s="19" t="s">
        <v>470</v>
      </c>
      <c r="B54" s="18" t="str">
        <f>VLOOKUP($A54,Questions!$A$2:$X$333,2,0)</f>
        <v>Have you implemented an intrusion detection system (network-based)?*</v>
      </c>
      <c r="C54" s="21"/>
      <c r="D54" s="317"/>
      <c r="E54" s="167" t="str">
        <f>IF($C$18='Auto Responses'!$J$4,'Auto Responses'!$A$3,IF($C54='Auto Responses'!$J$3,VLOOKUP($A54,Questions!$A$2:$X$333,17,0)&amp;"",IF($C54='Auto Responses'!$J$4,VLOOKUP($A54,Questions!$A$2:$X$333,16,0)&amp;"",VLOOKUP($A54,Questions!$A$2:$X$333,15,0)&amp;"")))</f>
        <v/>
      </c>
      <c r="F54" s="201" t="str">
        <f>VLOOKUP($A54,'Institution Evaluation'!$A$56:$F$345,6,0)&amp;""</f>
        <v/>
      </c>
      <c r="I54" s="35"/>
      <c r="J54" s="35"/>
    </row>
    <row r="55" spans="1:10" s="1" customFormat="1" ht="38.25" customHeight="1" x14ac:dyDescent="0.2">
      <c r="A55" s="19" t="s">
        <v>475</v>
      </c>
      <c r="B55" s="18" t="str">
        <f>VLOOKUP($A55,Questions!$A$2:$X$333,2,0)</f>
        <v>Do you employ host-based intrusion detection?*</v>
      </c>
      <c r="C55" s="21"/>
      <c r="D55" s="317"/>
      <c r="E55" s="167" t="str">
        <f>IF($C$18='Auto Responses'!$J$4,'Auto Responses'!$A$3,IF($C55='Auto Responses'!$J$3,VLOOKUP($A55,Questions!$A$2:$X$333,17,0)&amp;"",IF($C55='Auto Responses'!$J$4,VLOOKUP($A55,Questions!$A$2:$X$333,16,0)&amp;"",IF($C55='Auto Responses'!$J$5,VLOOKUP($A55,Questions!$A$2:$X$333,18,0)&amp;"",VLOOKUP($A55,Questions!$A$2:$X$333,15,0)&amp;""))))</f>
        <v/>
      </c>
      <c r="F55" s="201" t="str">
        <f>VLOOKUP($A55,'Institution Evaluation'!$A$56:$F$345,6,0)&amp;""</f>
        <v/>
      </c>
      <c r="I55" s="35"/>
      <c r="J55" s="35"/>
    </row>
    <row r="56" spans="1:10" s="1" customFormat="1" ht="38.25" customHeight="1" x14ac:dyDescent="0.2">
      <c r="A56" s="19" t="s">
        <v>478</v>
      </c>
      <c r="B56" s="18" t="str">
        <f>VLOOKUP($A56,Questions!$A$2:$X$333,2,0)</f>
        <v>Are audit logs available for all changes to the network, firewall, IDS, and IPS systems?*</v>
      </c>
      <c r="C56" s="21"/>
      <c r="D56" s="317"/>
      <c r="E56" s="167" t="str">
        <f>IF($C$18='Auto Responses'!$J$4,'Auto Responses'!$A$3,IF($C56='Auto Responses'!$J$3,VLOOKUP($A56,Questions!$A$2:$X$333,17,0)&amp;"",IF($C56='Auto Responses'!$J$4,VLOOKUP($A56,Questions!$A$2:$X$333,16,0)&amp;"",VLOOKUP($A56,Questions!$A$2:$X$333,15,0)&amp;"")))</f>
        <v/>
      </c>
      <c r="F56" s="201" t="str">
        <f>VLOOKUP($A56,'Institution Evaluation'!$A$56:$F$345,6,0)&amp;""</f>
        <v/>
      </c>
      <c r="I56" s="35"/>
      <c r="J56" s="35"/>
    </row>
    <row r="57" spans="1:10" s="1" customFormat="1" ht="48" customHeight="1" x14ac:dyDescent="0.2">
      <c r="A57" s="19" t="s">
        <v>480</v>
      </c>
      <c r="B57" s="18" t="str">
        <f>VLOOKUP($A57,Questions!$A$2:$X$333,2,0)</f>
        <v>Is authority for firewall change approval documented? Please list approver names or titles in Additional Info.</v>
      </c>
      <c r="C57" s="21"/>
      <c r="D57" s="317"/>
      <c r="E57" s="167" t="str">
        <f>IF($C$18='Auto Responses'!$J$4,'Auto Responses'!$A$3,IF($C57='Auto Responses'!$J$3,VLOOKUP($A57,Questions!$A$2:$X$333,17,0)&amp;"",IF($C57='Auto Responses'!$J$4,VLOOKUP($A57,Questions!$A$2:$X$333,16,0)&amp;"",VLOOKUP($A57,Questions!$A$2:$X$333,15,0)&amp;"")))</f>
        <v/>
      </c>
      <c r="F57" s="201" t="str">
        <f>VLOOKUP($A57,'Institution Evaluation'!$A$56:$F$345,6,0)&amp;""</f>
        <v/>
      </c>
      <c r="I57" s="35"/>
      <c r="J57" s="35"/>
    </row>
    <row r="58" spans="1:10" s="1" customFormat="1" ht="38.25" customHeight="1" x14ac:dyDescent="0.2">
      <c r="A58" s="19" t="s">
        <v>482</v>
      </c>
      <c r="B58" s="18" t="str">
        <f>VLOOKUP($A58,Questions!$A$2:$X$333,2,0)</f>
        <v>Have you implemented an intrusion prevention system (network-based)?</v>
      </c>
      <c r="C58" s="21"/>
      <c r="D58" s="317"/>
      <c r="E58" s="167" t="str">
        <f>IF($C$18='Auto Responses'!$J$4,'Auto Responses'!$A$3,IF($C58='Auto Responses'!$J$3,VLOOKUP($A58,Questions!$A$2:$X$333,17,0)&amp;"",IF($C58='Auto Responses'!$J$4,VLOOKUP($A58,Questions!$A$2:$X$333,16,0)&amp;"",VLOOKUP($A58,Questions!$A$2:$X$333,15,0)&amp;"")))</f>
        <v/>
      </c>
      <c r="F58" s="201" t="str">
        <f>VLOOKUP($A58,'Institution Evaluation'!$A$56:$F$345,6,0)&amp;""</f>
        <v/>
      </c>
      <c r="I58" s="35"/>
      <c r="J58" s="35"/>
    </row>
    <row r="59" spans="1:10" s="1" customFormat="1" ht="38.25" customHeight="1" x14ac:dyDescent="0.2">
      <c r="A59" s="19" t="s">
        <v>485</v>
      </c>
      <c r="B59" s="18" t="str">
        <f>VLOOKUP($A59,Questions!$A$2:$X$333,2,0)</f>
        <v>Do you employ host-based intrusion prevention?</v>
      </c>
      <c r="C59" s="21"/>
      <c r="D59" s="317"/>
      <c r="E59" s="167" t="str">
        <f>IF($C$18='Auto Responses'!$J$4,'Auto Responses'!$A$3,IF($C59='Auto Responses'!$J$3,VLOOKUP($A59,Questions!$A$2:$X$333,17,0)&amp;"",IF($C59='Auto Responses'!$J$4,VLOOKUP($A59,Questions!$A$2:$X$333,16,0)&amp;"",IF($C59='Auto Responses'!$J$5,VLOOKUP($A59,Questions!$A$2:$X$333,18,0)&amp;"",VLOOKUP($A59,Questions!$A$2:$X$333,15,0)&amp;""))))</f>
        <v/>
      </c>
      <c r="F59" s="201" t="str">
        <f>VLOOKUP($A59,'Institution Evaluation'!$A$56:$F$345,6,0)&amp;""</f>
        <v/>
      </c>
      <c r="I59" s="35"/>
      <c r="J59" s="35"/>
    </row>
    <row r="60" spans="1:10" s="1" customFormat="1" ht="38.25" customHeight="1" x14ac:dyDescent="0.2">
      <c r="A60" s="19" t="s">
        <v>490</v>
      </c>
      <c r="B60" s="18" t="str">
        <f>VLOOKUP($A60,Questions!$A$2:$X$333,2,0)</f>
        <v>Are you employing any next-generation persistent threat (NGPT) monitoring?</v>
      </c>
      <c r="C60" s="21"/>
      <c r="D60" s="317"/>
      <c r="E60" s="167" t="str">
        <f>IF($C$18='Auto Responses'!$J$4,'Auto Responses'!$A$3,IF($C60='Auto Responses'!$J$3,VLOOKUP($A60,Questions!$A$2:$X$333,17,0)&amp;"",IF($C60='Auto Responses'!$J$4,VLOOKUP($A60,Questions!$A$2:$X$333,16,0)&amp;"",VLOOKUP($A60,Questions!$A$2:$X$333,15,0)&amp;"")))</f>
        <v/>
      </c>
      <c r="F60" s="201" t="str">
        <f>VLOOKUP($A60,'Institution Evaluation'!$A$56:$F$345,6,0)&amp;""</f>
        <v/>
      </c>
      <c r="I60" s="35"/>
      <c r="J60" s="35"/>
    </row>
    <row r="61" spans="1:10" s="1" customFormat="1" ht="60" customHeight="1" x14ac:dyDescent="0.2">
      <c r="A61" s="19" t="s">
        <v>495</v>
      </c>
      <c r="B61" s="18" t="str">
        <f>VLOOKUP($A61,Questions!$A$2:$X$333,2,0)</f>
        <v>Is intrusion monitoring performed internally or by a third-party service?</v>
      </c>
      <c r="C61" s="77"/>
      <c r="D61" s="313"/>
      <c r="E61" s="167" t="str">
        <f>IF($C$18='Auto Responses'!$J$4,'Auto Responses'!$A$3,IF($C61='Auto Responses'!$J$3,VLOOKUP($A61,Questions!$A$2:$X$333,17,0)&amp;"",IF($C61='Auto Responses'!$J$4,VLOOKUP($A61,Questions!$A$2:$X$333,16,0)&amp;"",VLOOKUP($A61,Questions!$A$2:$X$333,15,0)&amp;"")))</f>
        <v>In addition to stating your intrusion monitoring strategy, provide a brief summary of its implementation.</v>
      </c>
      <c r="F61" s="201" t="str">
        <f>VLOOKUP($A61,'Institution Evaluation'!$A$56:$F$345,6,0)&amp;""</f>
        <v/>
      </c>
      <c r="I61" s="35"/>
      <c r="J61" s="35"/>
    </row>
    <row r="62" spans="1:10" s="1" customFormat="1" ht="36" customHeight="1" thickBot="1" x14ac:dyDescent="0.25">
      <c r="A62" s="19" t="s">
        <v>499</v>
      </c>
      <c r="B62" s="18" t="str">
        <f>VLOOKUP($A62,Questions!$A$2:$X$333,2,0)</f>
        <v>Do you monitor for intrusions on a 24 x 7 x 365 basis?</v>
      </c>
      <c r="C62" s="21"/>
      <c r="D62" s="317"/>
      <c r="E62" s="167" t="str">
        <f>IF($C$18='Auto Responses'!$J$4,'Auto Responses'!$A$3,IF($C62='Auto Responses'!$J$3,VLOOKUP($A62,Questions!$A$2:$X$333,17,0)&amp;"",IF($C62='Auto Responses'!$J$4,VLOOKUP($A62,Questions!$A$2:$X$333,16,0)&amp;"",VLOOKUP($A62,Questions!$A$2:$X$333,15,0)&amp;"")))</f>
        <v/>
      </c>
      <c r="F62" s="201" t="str">
        <f>VLOOKUP($A62,'Institution Evaluation'!$A$56:$F$345,6,0)&amp;""</f>
        <v/>
      </c>
      <c r="G62" s="238" t="s">
        <v>1449</v>
      </c>
      <c r="I62" s="35"/>
      <c r="J62" s="35"/>
    </row>
    <row r="63" spans="1:10" s="1" customFormat="1" ht="37.35" customHeight="1" thickBot="1" x14ac:dyDescent="0.25">
      <c r="A63" s="63" t="str">
        <f>VLOOKUP(LEFT($A64,4),'Auto Responses'!$N$4:$O$38,2,0)&amp;""</f>
        <v xml:space="preserve"> Incident Handling</v>
      </c>
      <c r="B63" s="22"/>
      <c r="C63" s="13" t="s">
        <v>1497</v>
      </c>
      <c r="D63" s="13" t="s">
        <v>72</v>
      </c>
      <c r="E63" s="31" t="s">
        <v>848</v>
      </c>
      <c r="F63" s="187" t="s">
        <v>849</v>
      </c>
      <c r="I63" s="35"/>
      <c r="J63" s="35"/>
    </row>
    <row r="64" spans="1:10" s="1" customFormat="1" ht="27" customHeight="1" x14ac:dyDescent="0.2">
      <c r="A64" s="19" t="s">
        <v>558</v>
      </c>
      <c r="B64" s="18" t="str">
        <f>VLOOKUP($A64,Questions!$A$2:$X$333,2,0)</f>
        <v>Do you have a formal incident response plan?</v>
      </c>
      <c r="C64" s="21"/>
      <c r="D64" s="317"/>
      <c r="E64" s="167" t="str">
        <f>IF($C$18='Auto Responses'!$J$4,'Auto Responses'!$A$3,IF($C64='Auto Responses'!$J$3,VLOOKUP($A64,Questions!$A$2:$X$333,17,0)&amp;"",IF($C64='Auto Responses'!$J$4,VLOOKUP($A64,Questions!$A$2:$X$333,16,0)&amp;"",VLOOKUP($A64,Questions!$A$2:$X$333,15,0)&amp;"")))</f>
        <v/>
      </c>
      <c r="F64" s="201" t="str">
        <f>VLOOKUP($A64,'Institution Evaluation'!$A$56:$F$345,6,0)&amp;""</f>
        <v/>
      </c>
      <c r="I64" s="35"/>
      <c r="J64" s="35"/>
    </row>
    <row r="65" spans="1:12" s="1" customFormat="1" ht="40.5" customHeight="1" x14ac:dyDescent="0.2">
      <c r="A65" s="19" t="s">
        <v>562</v>
      </c>
      <c r="B65" s="18" t="str">
        <f>VLOOKUP($A65,Questions!$A$2:$X$333,2,0)</f>
        <v>Do you either have an internal incident response team or retain an external team?</v>
      </c>
      <c r="C65" s="21"/>
      <c r="D65" s="317"/>
      <c r="E65" s="167" t="str">
        <f>IF($C$18='Auto Responses'!$J$4,'Auto Responses'!$A$3,IF($C65='Auto Responses'!$J$3,VLOOKUP($A65,Questions!$A$2:$X$333,17,0)&amp;"",IF($C65='Auto Responses'!$J$4,VLOOKUP($A65,Questions!$A$2:$X$333,16,0)&amp;"",VLOOKUP($A65,Questions!$A$2:$X$333,15,0)&amp;"")))</f>
        <v/>
      </c>
      <c r="F65" s="201" t="str">
        <f>VLOOKUP($A65,'Institution Evaluation'!$A$56:$F$345,6,0)&amp;""</f>
        <v/>
      </c>
      <c r="I65" s="35"/>
      <c r="J65" s="35"/>
    </row>
    <row r="66" spans="1:12" s="1" customFormat="1" ht="46.5" customHeight="1" x14ac:dyDescent="0.2">
      <c r="A66" s="19" t="s">
        <v>566</v>
      </c>
      <c r="B66" s="18" t="str">
        <f>VLOOKUP($A66,Questions!$A$2:$X$333,2,0)</f>
        <v>Do you have the capability to respond to incidents on a 24 x 7 x 365 basis?</v>
      </c>
      <c r="C66" s="21"/>
      <c r="D66" s="317"/>
      <c r="E66" s="167" t="str">
        <f>IF($C$18='Auto Responses'!$J$4,'Auto Responses'!$A$3,IF($C66='Auto Responses'!$J$3,VLOOKUP($A66,Questions!$A$2:$X$333,17,0)&amp;"",IF($C66='Auto Responses'!$J$4,VLOOKUP($A66,Questions!$A$2:$X$333,16,0)&amp;"",VLOOKUP($A66,Questions!$A$2:$X$333,15,0)&amp;"")))</f>
        <v/>
      </c>
      <c r="F66" s="201" t="str">
        <f>VLOOKUP($A66,'Institution Evaluation'!$A$56:$F$345,6,0)&amp;""</f>
        <v/>
      </c>
      <c r="I66" s="35"/>
      <c r="J66" s="35"/>
    </row>
    <row r="67" spans="1:12" s="1" customFormat="1" ht="48" customHeight="1" thickBot="1" x14ac:dyDescent="0.25">
      <c r="A67" s="19" t="s">
        <v>570</v>
      </c>
      <c r="B67" s="18" t="str">
        <f>VLOOKUP($A67,Questions!$A$2:$X$333,2,0)</f>
        <v>Do you carry cyber-risk insurance to protect against unforeseen service outages, data that is lost or stolen, and security incidents?</v>
      </c>
      <c r="C67" s="21"/>
      <c r="D67" s="317"/>
      <c r="E67" s="167" t="str">
        <f>IF($C$18='Auto Responses'!$J$4,'Auto Responses'!$A$3,IF($C67='Auto Responses'!$J$3,VLOOKUP($A67,Questions!$A$2:$X$333,17,0)&amp;"",IF($C67='Auto Responses'!$J$4,VLOOKUP($A67,Questions!$A$2:$X$333,16,0)&amp;"",VLOOKUP($A67,Questions!$A$2:$X$333,15,0)&amp;"")))</f>
        <v/>
      </c>
      <c r="F67" s="201" t="str">
        <f>VLOOKUP($A67,'Institution Evaluation'!$A$56:$F$345,6,0)&amp;""</f>
        <v/>
      </c>
      <c r="G67" s="238" t="s">
        <v>1449</v>
      </c>
      <c r="I67" s="35"/>
      <c r="J67" s="35"/>
    </row>
    <row r="68" spans="1:12" s="1" customFormat="1" ht="37.35" customHeight="1" thickBot="1" x14ac:dyDescent="0.25">
      <c r="A68" s="63" t="str">
        <f>VLOOKUP(LEFT($A69,4),'Auto Responses'!$N$4:$O$38,2,0)&amp;""</f>
        <v xml:space="preserve"> Vulnerability Management</v>
      </c>
      <c r="B68" s="22"/>
      <c r="C68" s="13" t="s">
        <v>1497</v>
      </c>
      <c r="D68" s="13" t="s">
        <v>72</v>
      </c>
      <c r="E68" s="31" t="s">
        <v>848</v>
      </c>
      <c r="F68" s="187" t="s">
        <v>849</v>
      </c>
      <c r="I68" s="35"/>
      <c r="J68" s="35"/>
    </row>
    <row r="69" spans="1:12" s="1" customFormat="1" ht="60.75" customHeight="1" x14ac:dyDescent="0.2">
      <c r="A69" s="19" t="s">
        <v>572</v>
      </c>
      <c r="B69" s="18" t="str">
        <f>VLOOKUP($A69,Questions!$A$2:$X$333,2,0)</f>
        <v>Are your systems and applications scanned with an authenticated user account for vulnerabilities (that are remediated) prior to new releases?*</v>
      </c>
      <c r="C69" s="21"/>
      <c r="D69" s="317"/>
      <c r="E69" s="167" t="str">
        <f>IF($C$18='Auto Responses'!$J$4,'Auto Responses'!$A$3,IF($C69='Auto Responses'!$J$3,VLOOKUP($A69,Questions!$A$2:$X$333,17,0)&amp;"",IF($C69='Auto Responses'!$J$4,VLOOKUP($A69,Questions!$A$2:$X$333,16,0)&amp;"",VLOOKUP($A69,Questions!$A$2:$X$333,15,0)&amp;"")))</f>
        <v/>
      </c>
      <c r="F69" s="201" t="str">
        <f>VLOOKUP($A69,'Institution Evaluation'!$A$56:$F$345,6,0)&amp;""</f>
        <v/>
      </c>
      <c r="I69" s="35"/>
      <c r="J69" s="35"/>
    </row>
    <row r="70" spans="1:12" s="1" customFormat="1" ht="36.75" customHeight="1" x14ac:dyDescent="0.2">
      <c r="A70" s="19" t="s">
        <v>575</v>
      </c>
      <c r="B70" s="18" t="str">
        <f>VLOOKUP($A70,Questions!$A$2:$X$333,2,0)</f>
        <v>Will you provide results of application and system vulnerability scans to the institution?*</v>
      </c>
      <c r="C70" s="21"/>
      <c r="D70" s="317"/>
      <c r="E70" s="167" t="str">
        <f>IF($C$18='Auto Responses'!$J$4,'Auto Responses'!$A$3,IF($C70='Auto Responses'!$J$3,VLOOKUP($A70,Questions!$A$2:$X$333,17,0)&amp;"",IF($C70='Auto Responses'!$J$4,VLOOKUP($A70,Questions!$A$2:$X$333,16,0)&amp;"",VLOOKUP($A70,Questions!$A$2:$X$333,15,0)&amp;"")))</f>
        <v/>
      </c>
      <c r="F70" s="201" t="str">
        <f>VLOOKUP($A70,'Institution Evaluation'!$A$56:$F$345,6,0)&amp;""</f>
        <v/>
      </c>
      <c r="I70" s="35"/>
      <c r="J70" s="35"/>
    </row>
    <row r="71" spans="1:12" s="1" customFormat="1" ht="51.75" customHeight="1" x14ac:dyDescent="0.2">
      <c r="A71" s="19" t="s">
        <v>579</v>
      </c>
      <c r="B71" s="18" t="str">
        <f>VLOOKUP($A71,Questions!$A$2:$X$333,2,0)</f>
        <v>Will you allow the institution to perform its own vulnerability testing and/or scanning of your systems and/or application, provided that testing is performed at a mutually agreed upon time and date?*</v>
      </c>
      <c r="C71" s="21"/>
      <c r="D71" s="317"/>
      <c r="E71" s="167" t="str">
        <f>IF($C$18='Auto Responses'!$J$4,'Auto Responses'!$A$3,IF($C71='Auto Responses'!$J$3,VLOOKUP($A71,Questions!$A$2:$X$333,17,0)&amp;"",IF($C71='Auto Responses'!$J$4,VLOOKUP($A71,Questions!$A$2:$X$333,16,0)&amp;"",VLOOKUP($A71,Questions!$A$2:$X$333,15,0)&amp;"")))</f>
        <v/>
      </c>
      <c r="F71" s="201" t="str">
        <f>VLOOKUP($A71,'Institution Evaluation'!$A$56:$F$345,6,0)&amp;""</f>
        <v/>
      </c>
      <c r="I71" s="35"/>
      <c r="J71" s="35"/>
    </row>
    <row r="72" spans="1:12" s="1" customFormat="1" ht="54" customHeight="1" x14ac:dyDescent="0.2">
      <c r="A72" s="19" t="s">
        <v>582</v>
      </c>
      <c r="B72" s="18" t="str">
        <f>VLOOKUP($A72,Questions!$A$2:$X$333,2,0)</f>
        <v>Have your systems and applications had a third-party security assessment completed in the last year?</v>
      </c>
      <c r="C72" s="21"/>
      <c r="D72" s="317"/>
      <c r="E72" s="167" t="str">
        <f>IF($C$18='Auto Responses'!$J$4,'Auto Responses'!$A$3,IF($C72='Auto Responses'!$J$3,VLOOKUP($A72,Questions!$A$2:$X$333,17,0)&amp;"",IF($C72='Auto Responses'!$J$4,VLOOKUP($A72,Questions!$A$2:$X$333,16,0)&amp;"",VLOOKUP($A72,Questions!$A$2:$X$333,15,0)&amp;"")))</f>
        <v/>
      </c>
      <c r="F72" s="201" t="str">
        <f>VLOOKUP($A72,'Institution Evaluation'!$A$56:$F$345,6,0)&amp;""</f>
        <v/>
      </c>
      <c r="I72" s="35"/>
      <c r="J72" s="35"/>
    </row>
    <row r="73" spans="1:12" s="1" customFormat="1" ht="60" customHeight="1" x14ac:dyDescent="0.2">
      <c r="A73" s="19" t="s">
        <v>585</v>
      </c>
      <c r="B73" s="18" t="str">
        <f>VLOOKUP($A73,Questions!$A$2:$X$333,2,0)</f>
        <v>Do you regularly scan for common web application security vulnerabilities (e.g., SQL injection, XSS, XSRF, etc.)?</v>
      </c>
      <c r="C73" s="21"/>
      <c r="D73" s="317"/>
      <c r="E73" s="167" t="str">
        <f>IF($C$18='Auto Responses'!$J$4,'Auto Responses'!$A$3,IF($C73='Auto Responses'!$J$3,VLOOKUP($A73,Questions!$A$2:$X$333,17,0)&amp;"",IF($C73='Auto Responses'!$J$4,VLOOKUP($A73,Questions!$A$2:$X$333,16,0)&amp;"",VLOOKUP($A73,Questions!$A$2:$X$333,15,0)&amp;"")))</f>
        <v>Ensure that all elements of VULN-05 are clearly stated in your response.</v>
      </c>
      <c r="F73" s="201" t="str">
        <f>VLOOKUP($A73,'Institution Evaluation'!$A$56:$F$345,6,0)&amp;""</f>
        <v/>
      </c>
      <c r="I73" s="35"/>
      <c r="J73" s="35"/>
    </row>
    <row r="74" spans="1:12" s="1" customFormat="1" ht="56.25" customHeight="1" x14ac:dyDescent="0.2">
      <c r="A74" s="19" t="s">
        <v>587</v>
      </c>
      <c r="B74" s="18" t="str">
        <f>VLOOKUP($A74,Questions!$A$2:$X$333,2,0)</f>
        <v>Are your systems and applications regularly scanned externally for vulnerabilities?</v>
      </c>
      <c r="C74" s="21"/>
      <c r="D74" s="317"/>
      <c r="E74" s="167" t="str">
        <f>IF($C$18='Auto Responses'!$J$4,'Auto Responses'!$A$3,IF($C74='Auto Responses'!$J$3,VLOOKUP($A74,Questions!$A$2:$X$333,17,0)&amp;"",IF($C74='Auto Responses'!$J$4,VLOOKUP($A74,Questions!$A$2:$X$333,16,0)&amp;"",VLOOKUP($A74,Questions!$A$2:$X$333,15,0)&amp;"")))</f>
        <v/>
      </c>
      <c r="F74" s="201" t="str">
        <f>VLOOKUP($A74,'Institution Evaluation'!$A$56:$F$345,6,0)&amp;""</f>
        <v/>
      </c>
      <c r="G74" s="238" t="s">
        <v>1449</v>
      </c>
      <c r="H74" s="35"/>
    </row>
    <row r="75" spans="1:12" s="171" customFormat="1" ht="36.75" customHeight="1" x14ac:dyDescent="0.2">
      <c r="A75" s="267" t="s">
        <v>1507</v>
      </c>
      <c r="B75" s="253"/>
      <c r="C75" s="254"/>
      <c r="D75" s="318"/>
      <c r="E75" s="256"/>
      <c r="F75" s="257"/>
      <c r="G75" s="258"/>
      <c r="H75" s="172"/>
    </row>
    <row r="76" spans="1:12" s="1" customFormat="1" ht="15" hidden="1" customHeight="1" x14ac:dyDescent="0.2">
      <c r="A76" s="23"/>
      <c r="C76" s="8"/>
      <c r="D76" s="9"/>
      <c r="E76" s="10"/>
      <c r="I76" s="35"/>
      <c r="J76" s="35"/>
    </row>
    <row r="77" spans="1:12" ht="15" hidden="1" customHeight="1" x14ac:dyDescent="0.2">
      <c r="A77" s="1"/>
      <c r="B77" s="8"/>
      <c r="C77" s="71"/>
      <c r="D77" s="10"/>
      <c r="E77" s="1"/>
      <c r="H77" s="35"/>
      <c r="I77" s="1"/>
      <c r="J77" s="1"/>
      <c r="L77" s="23"/>
    </row>
    <row r="78" spans="1:12" ht="0" hidden="1" customHeight="1" x14ac:dyDescent="0.2">
      <c r="A78" s="19" t="e">
        <f>#REF!</f>
        <v>#REF!</v>
      </c>
    </row>
    <row r="79" spans="1:12" ht="0" hidden="1" customHeight="1" x14ac:dyDescent="0.2">
      <c r="A79" s="19" t="e">
        <f>#REF!</f>
        <v>#REF!</v>
      </c>
    </row>
    <row r="80" spans="1:12" ht="0" hidden="1" customHeight="1" x14ac:dyDescent="0.2">
      <c r="A80" s="19" t="e">
        <f>#REF!</f>
        <v>#REF!</v>
      </c>
    </row>
    <row r="81" spans="1:1" ht="0" hidden="1" customHeight="1" x14ac:dyDescent="0.2">
      <c r="A81" s="19" t="e">
        <f>#REF!</f>
        <v>#REF!</v>
      </c>
    </row>
    <row r="82" spans="1:1" ht="0" hidden="1" customHeight="1" x14ac:dyDescent="0.2">
      <c r="A82" s="19" t="e">
        <f>#REF!</f>
        <v>#REF!</v>
      </c>
    </row>
    <row r="83" spans="1:1" ht="0" hidden="1" customHeight="1" x14ac:dyDescent="0.2">
      <c r="A83" s="19" t="e">
        <f>#REF!</f>
        <v>#REF!</v>
      </c>
    </row>
    <row r="84" spans="1:1" ht="0" hidden="1" customHeight="1" x14ac:dyDescent="0.2">
      <c r="A84" s="19"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C69:C75 C64:C67 C36:C50 C62 C33 C20:C31 C52:C54 C56:C58 C60</xm:sqref>
        </x14:dataValidation>
        <x14:dataValidation type="list" allowBlank="1" showInputMessage="1" showErrorMessage="1" xr:uid="{93657D99-E1FD-4BD9-A144-57795F7D382E}">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5" hidden="1" customWidth="1"/>
    <col min="11" max="11" width="4.5" style="1" hidden="1" customWidth="1"/>
    <col min="12" max="12" width="6.59765625" style="1" hidden="1" customWidth="1"/>
    <col min="13" max="16384" width="6.59765625" hidden="1"/>
  </cols>
  <sheetData>
    <row r="1" spans="1:10" ht="0" hidden="1" customHeight="1" x14ac:dyDescent="0.2">
      <c r="A1" t="s">
        <v>1448</v>
      </c>
    </row>
    <row r="2" spans="1:10" ht="36" customHeight="1" x14ac:dyDescent="0.2">
      <c r="A2" s="168" t="s">
        <v>1378</v>
      </c>
      <c r="B2" s="168"/>
      <c r="C2" s="169"/>
      <c r="D2" s="308"/>
      <c r="E2" s="170"/>
      <c r="F2" s="170" t="str">
        <f>'Auto Responses'!$A$36</f>
        <v>Version 4.1.5</v>
      </c>
      <c r="J2" s="1"/>
    </row>
    <row r="3" spans="1:10" s="1" customFormat="1" ht="29.1" customHeight="1" x14ac:dyDescent="0.2">
      <c r="A3" s="37" t="s">
        <v>940</v>
      </c>
      <c r="B3" s="38"/>
      <c r="C3" s="66">
        <f>'START HERE'!$C$3</f>
        <v>0</v>
      </c>
      <c r="D3" s="309"/>
      <c r="E3" s="36"/>
      <c r="F3" s="50"/>
      <c r="I3" s="35"/>
    </row>
    <row r="4" spans="1:10" s="1" customFormat="1" ht="36" customHeight="1" x14ac:dyDescent="0.2">
      <c r="A4" s="11" t="s">
        <v>865</v>
      </c>
      <c r="B4" s="12"/>
      <c r="C4" s="13"/>
      <c r="D4" s="14"/>
      <c r="E4" s="15"/>
      <c r="F4" s="15"/>
      <c r="I4" s="35"/>
    </row>
    <row r="5" spans="1:10" s="1" customFormat="1" ht="19.5" customHeight="1" x14ac:dyDescent="0.2">
      <c r="A5" s="42" t="str">
        <f>HLOOKUP($A$4,'Auto Responses'!$D$2:$D$8,2,0)&amp;""</f>
        <v>1. Complete the "Start Here" tab and review the "Required Questions" guidance to find the other sections are required for your product or service.</v>
      </c>
      <c r="B5" s="16"/>
      <c r="C5" s="67"/>
      <c r="D5" s="310"/>
      <c r="E5" s="16"/>
      <c r="F5" s="261"/>
      <c r="I5" s="35"/>
    </row>
    <row r="6" spans="1:10" s="1" customFormat="1" ht="19.5" customHeight="1" x14ac:dyDescent="0.2">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0" s="1" customFormat="1" ht="19.5" customHeight="1" x14ac:dyDescent="0.2">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0" s="1" customFormat="1" ht="19.5" customHeight="1" x14ac:dyDescent="0.2">
      <c r="A8" s="42" t="str">
        <f>HLOOKUP($A$4,'Auto Responses'!$D$2:$D$8,5,0)&amp;""</f>
        <v>4. DO NOT complete any fields in the "Evaluation" sheets or the "Analyst Notes" column.</v>
      </c>
      <c r="B8" s="16"/>
      <c r="C8" s="67"/>
      <c r="D8" s="310"/>
      <c r="E8" s="16"/>
      <c r="F8" s="262"/>
      <c r="I8" s="35"/>
    </row>
    <row r="9" spans="1:10" s="1" customFormat="1" ht="19.5" customHeight="1" x14ac:dyDescent="0.2">
      <c r="A9" s="42" t="str">
        <f>HLOOKUP($A$4,'Auto Responses'!$D$2:$D$8,6,0)&amp;""</f>
        <v>5. Return the completed file to institutions.</v>
      </c>
      <c r="B9" s="16"/>
      <c r="C9" s="67"/>
      <c r="D9" s="310"/>
      <c r="E9" s="16"/>
      <c r="F9" s="262"/>
      <c r="I9" s="35"/>
    </row>
    <row r="10" spans="1:10" s="1" customFormat="1" ht="19.5" customHeight="1" x14ac:dyDescent="0.2">
      <c r="A10" s="247" t="str">
        <f>HLOOKUP($A$4,'Auto Responses'!$D$2:$D$8,7,0)&amp;""</f>
        <v>* Denotes critical questions. Critical questions are those deemed most important to institutions by higher education volunteers.</v>
      </c>
      <c r="B10" s="16"/>
      <c r="C10" s="67"/>
      <c r="D10" s="310"/>
      <c r="E10" s="16"/>
      <c r="F10" s="262"/>
      <c r="I10" s="35"/>
    </row>
    <row r="11" spans="1:10" s="1" customFormat="1" ht="19.5" customHeight="1" x14ac:dyDescent="0.2">
      <c r="A11" s="246" t="str">
        <f>HLOOKUP($A$4,'Auto Responses'!$D$2:$D$9,8,0)&amp;""</f>
        <v>For full instructions, please visit educause.edu/HECVAT</v>
      </c>
      <c r="B11" s="16"/>
      <c r="C11" s="67"/>
      <c r="D11" s="310"/>
      <c r="E11" s="16"/>
      <c r="F11" s="263"/>
      <c r="I11" s="35"/>
    </row>
    <row r="12" spans="1:10" s="1" customFormat="1" ht="36" customHeight="1" x14ac:dyDescent="0.2">
      <c r="A12" s="63" t="str">
        <f>VLOOKUP(LEFT($A13,4),'Auto Responses'!$N$4:$O$38,2,0)&amp;""</f>
        <v xml:space="preserve"> General Information</v>
      </c>
      <c r="B12" s="12"/>
      <c r="C12" s="13" t="s">
        <v>1497</v>
      </c>
      <c r="D12" s="311"/>
      <c r="E12" s="17"/>
      <c r="F12" s="17"/>
      <c r="I12" s="35"/>
      <c r="J12" s="35"/>
    </row>
    <row r="13" spans="1:10" s="1" customFormat="1" ht="22.35" customHeight="1" x14ac:dyDescent="0.2">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
      <c r="A14" s="19" t="s">
        <v>24</v>
      </c>
      <c r="B14" s="20" t="str">
        <f>VLOOKUP($A14,Questions!$A$2:$X$333,2,0)&amp;""</f>
        <v>Solution Name</v>
      </c>
      <c r="C14" s="76" t="str">
        <f>VLOOKUP($A14,'START HERE'!$A$13:$C$21,3,0)&amp;""</f>
        <v/>
      </c>
      <c r="D14" s="32"/>
      <c r="E14" s="32"/>
      <c r="F14" s="50"/>
      <c r="I14" s="35"/>
      <c r="J14" s="35"/>
    </row>
    <row r="15" spans="1:10" s="1" customFormat="1" ht="22.35" customHeight="1" x14ac:dyDescent="0.2">
      <c r="A15" s="19" t="s">
        <v>25</v>
      </c>
      <c r="B15" s="20" t="str">
        <f>VLOOKUP($A15,Questions!$A$2:$X$333,2,0)&amp;""</f>
        <v>Solution Description</v>
      </c>
      <c r="C15" s="76" t="str">
        <f>VLOOKUP($A15,'START HERE'!$A$13:$C$21,3,0)&amp;""</f>
        <v/>
      </c>
      <c r="D15" s="32"/>
      <c r="E15" s="32"/>
      <c r="F15" s="50"/>
      <c r="I15" s="35"/>
      <c r="J15" s="35"/>
    </row>
    <row r="16" spans="1:10" s="1" customFormat="1" ht="22.35" customHeight="1" thickBot="1" x14ac:dyDescent="0.25">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25">
      <c r="A17" s="63" t="str">
        <f>VLOOKUP(LEFT($A18,4),'Auto Responses'!$N$4:$O$38,2,0)&amp;""</f>
        <v xml:space="preserve"> Required Questions</v>
      </c>
      <c r="B17" s="22"/>
      <c r="C17" s="13" t="s">
        <v>1497</v>
      </c>
      <c r="D17" s="13"/>
      <c r="E17" s="31" t="s">
        <v>848</v>
      </c>
      <c r="F17" s="187" t="s">
        <v>849</v>
      </c>
      <c r="I17" s="35"/>
      <c r="J17" s="35"/>
    </row>
    <row r="18" spans="1:10" s="1" customFormat="1" ht="54" customHeight="1" thickBot="1" x14ac:dyDescent="0.25">
      <c r="A18" s="19" t="s">
        <v>51</v>
      </c>
      <c r="B18" s="18" t="str">
        <f>VLOOKUP($A18,Questions!$A$2:$X$333,2,0)</f>
        <v>Does your product or service have an interface?</v>
      </c>
      <c r="C18" s="72" t="str">
        <f>VLOOKUP($A18,'START HERE'!$A$23:$F$36,3,0)&amp;""</f>
        <v/>
      </c>
      <c r="D18" s="312" t="str">
        <f>VLOOKUP($A18,'START HERE'!$A$23:$F$36,4,0)&amp;""</f>
        <v/>
      </c>
      <c r="E18" s="167" t="str">
        <f>IF($C18='Auto Responses'!$J$3,VLOOKUP($A18,Questions!$A$2:$X$333,17,0)&amp;"",IF($C18='Auto Responses'!$J$4,VLOOKUP($A18,Questions!$A$2:$X$333,16,0)&amp;"",VLOOKUP($A18,Questions!$A$2:$X$333,15,0)&amp;""))</f>
        <v>This includes any interface for end users and interfaces used by administrators at the institution.</v>
      </c>
      <c r="F18" s="201" t="str">
        <f>VLOOKUP($A18,'Institution Evaluation'!$A$56:$F$345,6,0)&amp;""</f>
        <v/>
      </c>
      <c r="G18" s="238" t="s">
        <v>1449</v>
      </c>
      <c r="I18" s="35"/>
      <c r="J18" s="35"/>
    </row>
    <row r="19" spans="1:10" s="1" customFormat="1" ht="37.35" customHeight="1" thickBot="1" x14ac:dyDescent="0.25">
      <c r="A19" s="63" t="str">
        <f>VLOOKUP(LEFT($A20,4),'Auto Responses'!$N$4:$O$38,2,0)&amp;""</f>
        <v xml:space="preserve"> IT Accessibility</v>
      </c>
      <c r="B19" s="22"/>
      <c r="C19" s="13" t="s">
        <v>1497</v>
      </c>
      <c r="D19" s="13" t="s">
        <v>72</v>
      </c>
      <c r="E19" s="31" t="s">
        <v>848</v>
      </c>
      <c r="F19" s="187" t="s">
        <v>849</v>
      </c>
      <c r="I19" s="35"/>
      <c r="J19" s="35"/>
    </row>
    <row r="20" spans="1:10" s="1" customFormat="1" ht="30" customHeight="1" x14ac:dyDescent="0.2">
      <c r="A20" s="19" t="s">
        <v>93</v>
      </c>
      <c r="B20" s="18" t="str">
        <f>VLOOKUP($A20,Questions!$A$2:$X$333,2,0)</f>
        <v>Solution Provider Accessibility Contact Name</v>
      </c>
      <c r="C20" s="77"/>
      <c r="D20" s="313"/>
      <c r="E20" s="167" t="str">
        <f>IF($C$18='Auto Responses'!$J$4,'Auto Responses'!$A$4,IF($C20='Auto Responses'!$J$3,VLOOKUP($A20,Questions!$A$2:$X$333,17,0)&amp;"",IF($C20='Auto Responses'!$J$4,VLOOKUP($A20,Questions!$A$2:$X$333,16,0)&amp;"",VLOOKUP($A20,Questions!$A$2:$X$333,15,0)&amp;"")))</f>
        <v/>
      </c>
      <c r="F20" s="201" t="str">
        <f>VLOOKUP($A20,'Institution Evaluation'!$A$56:$F$345,6,0)&amp;""</f>
        <v/>
      </c>
      <c r="I20" s="35"/>
      <c r="J20" s="35"/>
    </row>
    <row r="21" spans="1:10" s="1" customFormat="1" ht="30" customHeight="1" x14ac:dyDescent="0.2">
      <c r="A21" s="19" t="s">
        <v>94</v>
      </c>
      <c r="B21" s="18" t="str">
        <f>VLOOKUP($A21,Questions!$A$2:$X$333,2,0)</f>
        <v>Solution Provider Accessibility Contact Title</v>
      </c>
      <c r="C21" s="77"/>
      <c r="D21" s="313"/>
      <c r="E21" s="167" t="str">
        <f>IF($C$18='Auto Responses'!$J$4,'Auto Responses'!$A$4,IF($C21='Auto Responses'!$J$3,VLOOKUP($A21,Questions!$A$2:$X$333,17,0)&amp;"",IF($C21='Auto Responses'!$J$4,VLOOKUP($A21,Questions!$A$2:$X$333,16,0)&amp;"",VLOOKUP($A21,Questions!$A$2:$X$333,15,0)&amp;"")))</f>
        <v/>
      </c>
      <c r="F21" s="201" t="str">
        <f>VLOOKUP($A21,'Institution Evaluation'!$A$56:$F$345,6,0)&amp;""</f>
        <v/>
      </c>
      <c r="I21" s="35"/>
      <c r="J21" s="35"/>
    </row>
    <row r="22" spans="1:10" s="1" customFormat="1" ht="30" customHeight="1" x14ac:dyDescent="0.2">
      <c r="A22" s="19" t="s">
        <v>95</v>
      </c>
      <c r="B22" s="18" t="str">
        <f>VLOOKUP($A22,Questions!$A$2:$X$333,2,0)</f>
        <v>Solution Provider Accessibility Contact Email</v>
      </c>
      <c r="C22" s="77"/>
      <c r="D22" s="313"/>
      <c r="E22" s="167" t="str">
        <f>IF($C$18='Auto Responses'!$J$4,'Auto Responses'!$A$4,IF($C22='Auto Responses'!$J$3,VLOOKUP($A22,Questions!$A$2:$X$333,17,0)&amp;"",IF($C22='Auto Responses'!$J$4,VLOOKUP($A22,Questions!$A$2:$X$333,16,0)&amp;"",VLOOKUP($A22,Questions!$A$2:$X$333,15,0)&amp;"")))</f>
        <v/>
      </c>
      <c r="F22" s="201" t="str">
        <f>VLOOKUP($A22,'Institution Evaluation'!$A$56:$F$345,6,0)&amp;""</f>
        <v/>
      </c>
      <c r="I22" s="35"/>
      <c r="J22" s="35"/>
    </row>
    <row r="23" spans="1:10" s="1" customFormat="1" ht="30" customHeight="1" x14ac:dyDescent="0.2">
      <c r="A23" s="19" t="s">
        <v>96</v>
      </c>
      <c r="B23" s="18" t="str">
        <f>VLOOKUP($A23,Questions!$A$2:$X$333,2,0)</f>
        <v>Solution Provider Accessibility Contact Phone Number</v>
      </c>
      <c r="C23" s="77"/>
      <c r="D23" s="313"/>
      <c r="E23" s="167" t="str">
        <f>IF($C$18='Auto Responses'!$J$4,'Auto Responses'!$A$4,IF($C23='Auto Responses'!$J$3,VLOOKUP($A23,Questions!$A$2:$X$333,17,0)&amp;"",IF($C23='Auto Responses'!$J$4,VLOOKUP($A23,Questions!$A$2:$X$333,16,0)&amp;"",VLOOKUP($A23,Questions!$A$2:$X$333,15,0)&amp;"")))</f>
        <v/>
      </c>
      <c r="F23" s="201" t="str">
        <f>VLOOKUP($A23,'Institution Evaluation'!$A$56:$F$345,6,0)&amp;""</f>
        <v/>
      </c>
      <c r="I23" s="35"/>
      <c r="J23" s="35"/>
    </row>
    <row r="24" spans="1:10" s="1" customFormat="1" ht="30" customHeight="1" x14ac:dyDescent="0.2">
      <c r="A24" s="19" t="s">
        <v>97</v>
      </c>
      <c r="B24" s="18" t="str">
        <f>VLOOKUP($A24,Questions!$A$2:$X$333,2,0)</f>
        <v>Web Link to Accessibility Statement or VPAT</v>
      </c>
      <c r="C24" s="77"/>
      <c r="D24" s="313"/>
      <c r="E24" s="167" t="str">
        <f>IF($C$18='Auto Responses'!$J$4,'Auto Responses'!$A$4,IF($C24='Auto Responses'!$J$3,VLOOKUP($A24,Questions!$A$2:$X$333,17,0)&amp;"",IF($C24='Auto Responses'!$J$4,VLOOKUP($A24,Questions!$A$2:$X$333,16,0)&amp;"",VLOOKUP($A24,Questions!$A$2:$X$333,15,0)&amp;"")))</f>
        <v>VPAT can also be added as an attachment</v>
      </c>
      <c r="F24" s="201" t="str">
        <f>VLOOKUP($A24,'Institution Evaluation'!$A$56:$F$345,6,0)&amp;""</f>
        <v/>
      </c>
      <c r="I24" s="35"/>
      <c r="J24" s="35"/>
    </row>
    <row r="25" spans="1:10" s="1" customFormat="1" ht="136.5" customHeight="1" x14ac:dyDescent="0.2">
      <c r="A25" s="19" t="s">
        <v>101</v>
      </c>
      <c r="B25" s="18" t="str">
        <f>VLOOKUP($A25,Questions!$A$2:$X$333,2,0)</f>
        <v>Has a VPAT or ACR been created or updated for the solution and version under consideration within the past 12 months?*</v>
      </c>
      <c r="C25" s="21"/>
      <c r="D25" s="313"/>
      <c r="E25" s="167" t="str">
        <f>IF($C$18='Auto Responses'!$J$4,'Auto Responses'!$A$4,IF($C25='Auto Responses'!$J$3,VLOOKUP($A25,Questions!$A$2:$X$333,17,0)&amp;"",IF($C25='Auto Responses'!$J$4,VLOOKUP($A25,Questions!$A$2:$X$333,16,0)&amp;"",VLOOKUP($A25,Questions!$A$2:$X$333,15,0)&amp;"")))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5" s="201" t="str">
        <f>VLOOKUP($A25,'Institution Evaluation'!$A$56:$F$345,6,0)&amp;""</f>
        <v/>
      </c>
      <c r="I25" s="35"/>
      <c r="J25" s="35"/>
    </row>
    <row r="26" spans="1:10" s="1" customFormat="1" ht="82.5" customHeight="1" x14ac:dyDescent="0.2">
      <c r="A26" s="19" t="s">
        <v>103</v>
      </c>
      <c r="B26" s="18" t="str">
        <f>VLOOKUP($A26,Questions!$A$2:$X$333,2,0)</f>
        <v>Will your company agree to meet your stated accessibility standard or WCAG 2.1 AA as part of your contractual agreement for the solution?*</v>
      </c>
      <c r="C26" s="21"/>
      <c r="D26" s="313"/>
      <c r="E26" s="167" t="str">
        <f>IF($C$18='Auto Responses'!$J$4,'Auto Responses'!$A$4,IF($C26='Auto Responses'!$J$3,VLOOKUP($A26,Questions!$A$2:$X$333,17,0)&amp;"",IF($C26='Auto Responses'!$J$4,VLOOKUP($A26,Questions!$A$2:$X$333,16,0)&amp;"",VLOOKUP($A26,Questions!$A$2:$X$333,15,0)&amp;"")))</f>
        <v/>
      </c>
      <c r="F26" s="201" t="str">
        <f>VLOOKUP($A26,'Institution Evaluation'!$A$56:$F$345,6,0)&amp;""</f>
        <v/>
      </c>
      <c r="I26" s="35"/>
      <c r="J26" s="35"/>
    </row>
    <row r="27" spans="1:10" s="1" customFormat="1" ht="161.25" customHeight="1" x14ac:dyDescent="0.2">
      <c r="A27" s="19" t="s">
        <v>106</v>
      </c>
      <c r="B27" s="18" t="str">
        <f>VLOOKUP($A27,Questions!$A$2:$X$333,2,0)</f>
        <v>Does the solution substantially conform to WCAG 2.1 AA?*</v>
      </c>
      <c r="C27" s="21"/>
      <c r="D27" s="313"/>
      <c r="E27" s="167" t="str">
        <f>IF($C$18='Auto Responses'!$J$4,'Auto Responses'!$A$4,IF($C27='Auto Responses'!$J$3,VLOOKUP($A27,Questions!$A$2:$X$333,17,0)&amp;"",IF($C27='Auto Responses'!$J$4,VLOOKUP($A27,Questions!$A$2:$X$333,16,0)&amp;"",VLOOKUP($A27,Questions!$A$2:$X$333,15,0)&amp;"")))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1" t="str">
        <f>VLOOKUP($A27,'Institution Evaluation'!$A$56:$F$345,6,0)&amp;""</f>
        <v/>
      </c>
      <c r="I27" s="35"/>
      <c r="J27" s="35"/>
    </row>
    <row r="28" spans="1:10" s="1" customFormat="1" ht="104.25" customHeight="1" x14ac:dyDescent="0.2">
      <c r="A28" s="19" t="s">
        <v>108</v>
      </c>
      <c r="B28" s="18" t="str">
        <f>VLOOKUP($A28,Questions!$A$2:$X$333,2,0)</f>
        <v>Do you have a documented and implemented process for reporting and tracking accessibility issues?*</v>
      </c>
      <c r="C28" s="21"/>
      <c r="D28" s="313"/>
      <c r="E28" s="167" t="str">
        <f>IF($C$18='Auto Responses'!$J$4,'Auto Responses'!$A$4,IF($C28='Auto Responses'!$J$3,VLOOKUP($A28,Questions!$A$2:$X$333,17,0)&amp;"",IF($C28='Auto Responses'!$J$4,VLOOKUP($A28,Questions!$A$2:$X$333,16,0)&amp;"",VLOOKUP($A28,Questions!$A$2:$X$333,15,0)&amp;"")))</f>
        <v xml:space="preserve">Reporting and fixing accessibility issues is critical to a mature process. If the process for this question is merely a "feature request" and tracker, the answer to this question should be "no." </v>
      </c>
      <c r="F28" s="201" t="str">
        <f>VLOOKUP($A28,'Institution Evaluation'!$A$56:$F$345,6,0)&amp;""</f>
        <v/>
      </c>
      <c r="I28" s="35"/>
      <c r="J28" s="35"/>
    </row>
    <row r="29" spans="1:10" s="1" customFormat="1" ht="104.25" customHeight="1" x14ac:dyDescent="0.2">
      <c r="A29" s="19" t="s">
        <v>111</v>
      </c>
      <c r="B29" s="18" t="str">
        <f>VLOOKUP($A29,Questions!$A$2:$X$333,2,0)</f>
        <v>Do you have documentation to support the accessibility features of your solution?</v>
      </c>
      <c r="C29" s="21"/>
      <c r="D29" s="313"/>
      <c r="E29" s="167" t="str">
        <f>IF($C$18='Auto Responses'!$J$4,'Auto Responses'!$A$4,IF($C29='Auto Responses'!$J$3,VLOOKUP($A29,Questions!$A$2:$X$333,17,0)&amp;"",IF($C29='Auto Responses'!$J$4,VLOOKUP($A29,Questions!$A$2:$X$333,16,0)&amp;"",VLOOKUP($A29,Questions!$A$2:$X$333,15,0)&amp;"")))</f>
        <v>If specific configurations, settings, themes, author guides, or instructions are needed to ensure accessibility, are instructions on how to do so provided for administrators and end users?</v>
      </c>
      <c r="F29" s="201" t="str">
        <f>VLOOKUP($A29,'Institution Evaluation'!$A$56:$F$345,6,0)&amp;""</f>
        <v/>
      </c>
      <c r="I29" s="35"/>
      <c r="J29" s="35"/>
    </row>
    <row r="30" spans="1:10" s="1" customFormat="1" ht="93.75" customHeight="1" x14ac:dyDescent="0.2">
      <c r="A30" s="19" t="s">
        <v>112</v>
      </c>
      <c r="B30" s="18" t="str">
        <f>VLOOKUP($A30,Questions!$A$2:$X$333,2,0)</f>
        <v>Has a third-party expert conducted an audit of the most recent version of your solution?</v>
      </c>
      <c r="C30" s="21"/>
      <c r="D30" s="313"/>
      <c r="E30" s="167" t="str">
        <f>IF($C$18='Auto Responses'!$J$4,'Auto Responses'!$A$4,IF($C30='Auto Responses'!$J$3,VLOOKUP($A30,Questions!$A$2:$X$333,17,0)&amp;"",IF($C30='Auto Responses'!$J$4,VLOOKUP($A30,Questions!$A$2:$X$333,16,0)&amp;"",VLOOKUP($A30,Questions!$A$2:$X$333,15,0)&amp;"")))</f>
        <v>Audit results, including VPAT/ACRs, are voluntary reports often generated by the creator of the product. Audits conducted and reports generated by expert third parties give greater confidence to customers.</v>
      </c>
      <c r="F30" s="201" t="str">
        <f>VLOOKUP($A30,'Institution Evaluation'!$A$56:$F$345,6,0)&amp;""</f>
        <v/>
      </c>
      <c r="I30" s="35"/>
      <c r="J30" s="35"/>
    </row>
    <row r="31" spans="1:10" s="1" customFormat="1" ht="120" customHeight="1" x14ac:dyDescent="0.2">
      <c r="A31" s="19" t="s">
        <v>113</v>
      </c>
      <c r="B31" s="18" t="str">
        <f>VLOOKUP($A31,Questions!$A$2:$X$333,2,0)</f>
        <v>Do you have a documented and implemented process for verifying accessibility conformance?</v>
      </c>
      <c r="C31" s="21"/>
      <c r="D31" s="313"/>
      <c r="E31" s="167" t="str">
        <f>IF($C$18='Auto Responses'!$J$4,'Auto Responses'!$A$4,IF($C31='Auto Responses'!$J$3,VLOOKUP($A31,Questions!$A$2:$X$333,17,0)&amp;"",IF($C31='Auto Responses'!$J$4,VLOOKUP($A31,Questions!$A$2:$X$333,16,0)&amp;"",VLOOKUP($A31,Questions!$A$2:$X$333,15,0)&amp;"")))</f>
        <v/>
      </c>
      <c r="F31" s="201" t="str">
        <f>VLOOKUP($A31,'Institution Evaluation'!$A$56:$F$345,6,0)&amp;""</f>
        <v/>
      </c>
      <c r="I31" s="35"/>
      <c r="J31" s="35"/>
    </row>
    <row r="32" spans="1:10" s="1" customFormat="1" ht="108" customHeight="1" x14ac:dyDescent="0.2">
      <c r="A32" s="19" t="s">
        <v>114</v>
      </c>
      <c r="B32" s="18" t="str">
        <f>VLOOKUP($A32,Questions!$A$2:$X$333,2,0)</f>
        <v>Have you adopted a technical or legal standard of conformance for the solution?</v>
      </c>
      <c r="C32" s="21"/>
      <c r="D32" s="313"/>
      <c r="E32" s="167" t="str">
        <f>IF($C$18='Auto Responses'!$J$4,'Auto Responses'!$A$4,IF($C32='Auto Responses'!$J$3,VLOOKUP($A32,Questions!$A$2:$X$333,17,0)&amp;"",IF($C32='Auto Responses'!$J$4,VLOOKUP($A32,Questions!$A$2:$X$333,16,0)&amp;"",VLOOKUP($A32,Questions!$A$2:$X$333,15,0)&amp;"")))</f>
        <v>Various federal and state governments in the United States and around the world have mandated accessibility technical requirements that should be considered and may be required when selling solutions to institutions in these jurisdictions.</v>
      </c>
      <c r="F32" s="201" t="str">
        <f>VLOOKUP($A32,'Institution Evaluation'!$A$56:$F$345,6,0)&amp;""</f>
        <v/>
      </c>
      <c r="I32" s="35"/>
      <c r="J32" s="35"/>
    </row>
    <row r="33" spans="1:12" s="1" customFormat="1" ht="228" customHeight="1" x14ac:dyDescent="0.2">
      <c r="A33" s="19" t="s">
        <v>116</v>
      </c>
      <c r="B33" s="18" t="str">
        <f>VLOOKUP($A33,Questions!$A$2:$X$333,2,0)</f>
        <v>Can you provide a current, detailed accessibility roadmap with delivery timelines?</v>
      </c>
      <c r="C33" s="21"/>
      <c r="D33" s="313"/>
      <c r="E33" s="167" t="str">
        <f>IF($C$18='Auto Responses'!$J$4,'Auto Responses'!$A$4,IF($C33='Auto Responses'!$J$3,VLOOKUP($A33,Questions!$A$2:$X$333,17,0)&amp;"",IF($C33='Auto Responses'!$J$4,VLOOKUP($A33,Questions!$A$2:$X$333,16,0)&amp;"",VLOOKUP($A33,Questions!$A$2:$X$333,15,0)&amp;"")))</f>
        <v>A detailed accessibility roadmap should reference improvements and progress on known accessibility issues as appropriate but does not necessarily need to list unreleased product features.</v>
      </c>
      <c r="F33" s="201" t="str">
        <f>VLOOKUP($A33,'Institution Evaluation'!$A$56:$F$345,6,0)&amp;""</f>
        <v/>
      </c>
      <c r="I33" s="35"/>
      <c r="J33" s="35"/>
    </row>
    <row r="34" spans="1:12" s="1" customFormat="1" ht="213" customHeight="1" x14ac:dyDescent="0.2">
      <c r="A34" s="19" t="s">
        <v>120</v>
      </c>
      <c r="B34" s="18" t="str">
        <f>VLOOKUP($A34,Questions!$A$2:$X$333,2,0)</f>
        <v>Do you expect your staff to maintain a current skill set in IT accessibility?</v>
      </c>
      <c r="C34" s="21"/>
      <c r="D34" s="313"/>
      <c r="E34" s="167" t="str">
        <f>IF($C$18='Auto Responses'!$J$4,'Auto Responses'!$A$4,IF($C34='Auto Responses'!$J$3,VLOOKUP($A34,Questions!$A$2:$X$333,17,0)&amp;"",IF($C34='Auto Responses'!$J$4,VLOOKUP($A34,Questions!$A$2:$X$333,16,0)&amp;"",VLOOKUP($A34,Questions!$A$2:$X$333,15,0)&amp;"")))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34" s="201" t="str">
        <f>VLOOKUP($A34,'Institution Evaluation'!$A$56:$F$345,6,0)&amp;""</f>
        <v/>
      </c>
      <c r="I34" s="35"/>
      <c r="J34" s="35"/>
    </row>
    <row r="35" spans="1:12" s="1" customFormat="1" ht="213" customHeight="1" x14ac:dyDescent="0.2">
      <c r="A35" s="19" t="s">
        <v>123</v>
      </c>
      <c r="B35" s="18" t="str">
        <f>VLOOKUP($A35,Questions!$A$2:$X$333,2,0)</f>
        <v>Do you have documented processes and procedures for implementing accessibility into your development lifecycle?</v>
      </c>
      <c r="C35" s="21"/>
      <c r="D35" s="313"/>
      <c r="E35" s="167" t="str">
        <f>IF($C$18='Auto Responses'!$J$4,'Auto Responses'!$A$4,IF($C35='Auto Responses'!$J$3,VLOOKUP($A35,Questions!$A$2:$X$333,17,0)&amp;"",IF($C35='Auto Responses'!$J$4,VLOOKUP($A35,Questions!$A$2:$X$333,16,0)&amp;"",VLOOKUP($A35,Questions!$A$2:$X$333,15,0)&amp;"")))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35" s="201" t="str">
        <f>VLOOKUP($A35,'Institution Evaluation'!$A$56:$F$345,6,0)&amp;""</f>
        <v/>
      </c>
      <c r="I35" s="35"/>
      <c r="J35" s="35"/>
    </row>
    <row r="36" spans="1:12" s="1" customFormat="1" ht="38.25" customHeight="1" x14ac:dyDescent="0.2">
      <c r="A36" s="19" t="s">
        <v>126</v>
      </c>
      <c r="B36" s="18" t="str">
        <f>VLOOKUP($A36,Questions!$A$2:$X$333,2,0)</f>
        <v>Can all functions of the application or service be performed using only the keyboard?</v>
      </c>
      <c r="C36" s="21"/>
      <c r="D36" s="313"/>
      <c r="E36" s="167" t="str">
        <f>IF($C$18='Auto Responses'!$J$4,'Auto Responses'!$A$4,IF($C36='Auto Responses'!$J$3,VLOOKUP($A36,Questions!$A$2:$X$333,17,0)&amp;"",IF($C36='Auto Responses'!$J$4,VLOOKUP($A36,Questions!$A$2:$X$333,16,0)&amp;"",VLOOKUP($A36,Questions!$A$2:$X$333,15,0)&amp;"")))</f>
        <v/>
      </c>
      <c r="F36" s="201" t="str">
        <f>VLOOKUP($A36,'Institution Evaluation'!$A$56:$F$345,6,0)&amp;""</f>
        <v/>
      </c>
      <c r="I36" s="35"/>
      <c r="J36" s="35"/>
    </row>
    <row r="37" spans="1:12" s="1" customFormat="1" ht="127.5" customHeight="1" x14ac:dyDescent="0.2">
      <c r="A37" s="19" t="s">
        <v>129</v>
      </c>
      <c r="B37" s="18" t="str">
        <f>VLOOKUP($A37,Questions!$A$2:$X$333,2,0)</f>
        <v>Does your product rely on activating a special "accessibility mode," a "lite version," or using an alternate interface (including “overlay” or AI-based alternates)  for accessibility purposes?</v>
      </c>
      <c r="C37" s="21"/>
      <c r="D37" s="313"/>
      <c r="E37" s="167" t="str">
        <f>IF($C$18='Auto Responses'!$J$4,'Auto Responses'!$A$4,IF($C37='Auto Responses'!$J$3,VLOOKUP($A37,Questions!$A$2:$X$333,17,0)&amp;"",IF($C37='Auto Responses'!$J$4,VLOOKUP($A37,Questions!$A$2:$X$333,16,0)&amp;"",VLOOKUP($A37,Questions!$A$2:$X$333,15,0)&amp;"")))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1" t="str">
        <f>VLOOKUP($A37,'Institution Evaluation'!$A$56:$F$345,6,0)&amp;""</f>
        <v/>
      </c>
      <c r="G37" s="238" t="s">
        <v>1449</v>
      </c>
      <c r="I37" s="35"/>
      <c r="J37" s="35"/>
    </row>
    <row r="38" spans="1:12" s="171" customFormat="1" ht="42" customHeight="1" x14ac:dyDescent="0.2">
      <c r="A38" s="267" t="s">
        <v>1507</v>
      </c>
      <c r="B38" s="253"/>
      <c r="C38" s="254"/>
      <c r="D38" s="314"/>
      <c r="E38" s="256"/>
      <c r="F38" s="257"/>
      <c r="G38" s="258"/>
      <c r="I38" s="172"/>
      <c r="J38" s="172"/>
    </row>
    <row r="39" spans="1:12" s="1" customFormat="1" ht="15" hidden="1" customHeight="1" x14ac:dyDescent="0.2">
      <c r="A39"/>
      <c r="C39" s="8"/>
      <c r="D39" s="9"/>
      <c r="E39" s="10"/>
      <c r="I39" s="35"/>
      <c r="J39" s="35"/>
    </row>
    <row r="40" spans="1:12" ht="15" hidden="1" customHeight="1" x14ac:dyDescent="0.2">
      <c r="A40" s="1"/>
      <c r="B40" s="8"/>
      <c r="C40" s="71"/>
      <c r="D40" s="10"/>
      <c r="E40" s="1"/>
      <c r="H40" s="35"/>
      <c r="I40" s="1"/>
      <c r="J40" s="1"/>
      <c r="L40"/>
    </row>
    <row r="41" spans="1:12" ht="0" hidden="1" customHeight="1" x14ac:dyDescent="0.2">
      <c r="A41" s="19" t="e">
        <f>#REF!</f>
        <v>#REF!</v>
      </c>
    </row>
    <row r="42" spans="1:12" ht="0" hidden="1" customHeight="1" x14ac:dyDescent="0.2">
      <c r="A42" s="19" t="e">
        <f>#REF!</f>
        <v>#REF!</v>
      </c>
    </row>
    <row r="43" spans="1:12" ht="0" hidden="1" customHeight="1" x14ac:dyDescent="0.2">
      <c r="A43" s="19" t="e">
        <f>#REF!</f>
        <v>#REF!</v>
      </c>
    </row>
    <row r="44" spans="1:12" ht="0" hidden="1" customHeight="1" x14ac:dyDescent="0.2">
      <c r="A44" s="19" t="e">
        <f>#REF!</f>
        <v>#REF!</v>
      </c>
    </row>
    <row r="45" spans="1:12" ht="0" hidden="1" customHeight="1" x14ac:dyDescent="0.2">
      <c r="A45" s="19" t="e">
        <f>#REF!</f>
        <v>#REF!</v>
      </c>
    </row>
    <row r="46" spans="1:12" ht="0" hidden="1" customHeight="1" x14ac:dyDescent="0.2">
      <c r="A46" s="19" t="e">
        <f>#REF!</f>
        <v>#REF!</v>
      </c>
    </row>
    <row r="47" spans="1:12" ht="0" hidden="1" customHeight="1" x14ac:dyDescent="0.2">
      <c r="A47" s="19"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2" style="1" customWidth="1"/>
    <col min="7" max="7" width="18.09765625" style="1" customWidth="1"/>
    <col min="8" max="8" width="18.09765625" style="1" hidden="1" customWidth="1"/>
    <col min="9" max="10" width="18.09765625" style="35" hidden="1" customWidth="1"/>
    <col min="11" max="11" width="4.5" style="1" hidden="1" customWidth="1"/>
    <col min="12" max="12" width="6.59765625" style="1" hidden="1" customWidth="1"/>
    <col min="13" max="16384" width="6.59765625" hidden="1"/>
  </cols>
  <sheetData>
    <row r="1" spans="1:10" ht="0" hidden="1" customHeight="1" x14ac:dyDescent="0.2">
      <c r="A1" t="s">
        <v>1448</v>
      </c>
    </row>
    <row r="2" spans="1:10" ht="36" customHeight="1" x14ac:dyDescent="0.2">
      <c r="A2" s="168" t="s">
        <v>1379</v>
      </c>
      <c r="B2" s="168"/>
      <c r="C2" s="169"/>
      <c r="D2" s="308"/>
      <c r="E2" s="170"/>
      <c r="F2" s="170" t="str">
        <f>'Auto Responses'!$A$36</f>
        <v>Version 4.1.5</v>
      </c>
      <c r="J2" s="1"/>
    </row>
    <row r="3" spans="1:10" s="1" customFormat="1" ht="29.1" customHeight="1" x14ac:dyDescent="0.2">
      <c r="A3" s="37" t="s">
        <v>940</v>
      </c>
      <c r="B3" s="38"/>
      <c r="C3" s="66">
        <f>'START HERE'!$C$3</f>
        <v>0</v>
      </c>
      <c r="D3" s="309"/>
      <c r="E3" s="36"/>
      <c r="F3" s="50"/>
      <c r="I3" s="35"/>
    </row>
    <row r="4" spans="1:10" s="1" customFormat="1" ht="36" customHeight="1" x14ac:dyDescent="0.2">
      <c r="A4" s="11" t="s">
        <v>865</v>
      </c>
      <c r="B4" s="12"/>
      <c r="C4" s="13"/>
      <c r="D4" s="14"/>
      <c r="E4" s="15"/>
      <c r="F4" s="15"/>
      <c r="I4" s="35"/>
    </row>
    <row r="5" spans="1:10" s="1" customFormat="1" ht="19.5" customHeight="1" x14ac:dyDescent="0.2">
      <c r="A5" s="42" t="str">
        <f>HLOOKUP($A$4,'Auto Responses'!$D$2:$D$8,2,0)&amp;""</f>
        <v>1. Complete the "Start Here" tab and review the "Required Questions" guidance to find the other sections are required for your product or service.</v>
      </c>
      <c r="B5" s="16"/>
      <c r="C5" s="67"/>
      <c r="D5" s="310"/>
      <c r="E5" s="16"/>
      <c r="F5" s="261"/>
      <c r="I5" s="35"/>
    </row>
    <row r="6" spans="1:10" s="1" customFormat="1" ht="19.5" customHeight="1" x14ac:dyDescent="0.2">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0" s="1" customFormat="1" ht="19.5" customHeight="1" x14ac:dyDescent="0.2">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0" s="1" customFormat="1" ht="19.5" customHeight="1" x14ac:dyDescent="0.2">
      <c r="A8" s="42" t="str">
        <f>HLOOKUP($A$4,'Auto Responses'!$D$2:$D$8,5,0)&amp;""</f>
        <v>4. DO NOT complete any fields in the "Evaluation" sheets or the "Analyst Notes" column.</v>
      </c>
      <c r="B8" s="16"/>
      <c r="C8" s="67"/>
      <c r="D8" s="310"/>
      <c r="E8" s="16"/>
      <c r="F8" s="262"/>
      <c r="I8" s="35"/>
    </row>
    <row r="9" spans="1:10" s="1" customFormat="1" ht="19.5" customHeight="1" x14ac:dyDescent="0.2">
      <c r="A9" s="42" t="str">
        <f>HLOOKUP($A$4,'Auto Responses'!$D$2:$D$8,6,0)&amp;""</f>
        <v>5. Return the completed file to institutions.</v>
      </c>
      <c r="B9" s="16"/>
      <c r="C9" s="67"/>
      <c r="D9" s="310"/>
      <c r="E9" s="16"/>
      <c r="F9" s="262"/>
      <c r="I9" s="35"/>
    </row>
    <row r="10" spans="1:10" s="1" customFormat="1" ht="19.5" customHeight="1" x14ac:dyDescent="0.2">
      <c r="A10" s="247" t="str">
        <f>HLOOKUP($A$4,'Auto Responses'!$D$2:$D$8,7,0)&amp;""</f>
        <v>* Denotes critical questions. Critical questions are those deemed most important to institutions by higher education volunteers.</v>
      </c>
      <c r="B10" s="16"/>
      <c r="C10" s="67"/>
      <c r="D10" s="310"/>
      <c r="E10" s="16"/>
      <c r="F10" s="262"/>
      <c r="I10" s="35"/>
    </row>
    <row r="11" spans="1:10" s="1" customFormat="1" ht="19.5" customHeight="1" x14ac:dyDescent="0.2">
      <c r="A11" s="246" t="str">
        <f>HLOOKUP($A$4,'Auto Responses'!$D$2:$D$9,8,0)&amp;""</f>
        <v>For full instructions, please visit educause.edu/HECVAT</v>
      </c>
      <c r="B11" s="16"/>
      <c r="C11" s="67"/>
      <c r="D11" s="310"/>
      <c r="E11" s="16"/>
      <c r="F11" s="263"/>
      <c r="I11" s="35"/>
    </row>
    <row r="12" spans="1:10" s="1" customFormat="1" ht="36" customHeight="1" x14ac:dyDescent="0.2">
      <c r="A12" s="63" t="str">
        <f>VLOOKUP(LEFT($A13,4),'Auto Responses'!$N$4:$O$38,2,0)&amp;""</f>
        <v xml:space="preserve"> General Information</v>
      </c>
      <c r="B12" s="12"/>
      <c r="C12" s="13" t="s">
        <v>1497</v>
      </c>
      <c r="D12" s="311"/>
      <c r="E12" s="17"/>
      <c r="F12" s="17"/>
      <c r="I12" s="35"/>
      <c r="J12" s="35"/>
    </row>
    <row r="13" spans="1:10" s="1" customFormat="1" ht="22.35" customHeight="1" x14ac:dyDescent="0.2">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
      <c r="A14" s="19" t="s">
        <v>24</v>
      </c>
      <c r="B14" s="20" t="str">
        <f>VLOOKUP($A14,Questions!$A$2:$X$333,2,0)&amp;""</f>
        <v>Solution Name</v>
      </c>
      <c r="C14" s="76" t="str">
        <f>VLOOKUP($A14,'START HERE'!$A$13:$C$21,3,0)&amp;""</f>
        <v/>
      </c>
      <c r="D14" s="32"/>
      <c r="E14" s="32"/>
      <c r="F14" s="50"/>
      <c r="I14" s="35"/>
      <c r="J14" s="35"/>
    </row>
    <row r="15" spans="1:10" s="1" customFormat="1" ht="22.35" customHeight="1" x14ac:dyDescent="0.2">
      <c r="A15" s="19" t="s">
        <v>25</v>
      </c>
      <c r="B15" s="20" t="str">
        <f>VLOOKUP($A15,Questions!$A$2:$X$333,2,0)&amp;""</f>
        <v>Solution Description</v>
      </c>
      <c r="C15" s="76" t="str">
        <f>VLOOKUP($A15,'START HERE'!$A$13:$C$21,3,0)&amp;""</f>
        <v/>
      </c>
      <c r="D15" s="32"/>
      <c r="E15" s="32"/>
      <c r="F15" s="50"/>
      <c r="I15" s="35"/>
      <c r="J15" s="35"/>
    </row>
    <row r="16" spans="1:10" s="1" customFormat="1" ht="22.35" customHeight="1" thickBot="1" x14ac:dyDescent="0.25">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25">
      <c r="A17" s="63" t="str">
        <f>VLOOKUP(LEFT($A18,4),'Auto Responses'!$N$4:$O$38,2,0)&amp;""</f>
        <v xml:space="preserve"> Required Questions</v>
      </c>
      <c r="B17" s="22"/>
      <c r="C17" s="13" t="s">
        <v>1497</v>
      </c>
      <c r="D17" s="13" t="s">
        <v>72</v>
      </c>
      <c r="E17" s="31" t="s">
        <v>848</v>
      </c>
      <c r="F17" s="187" t="s">
        <v>849</v>
      </c>
      <c r="I17" s="35"/>
      <c r="J17" s="35"/>
    </row>
    <row r="18" spans="1:10" s="1" customFormat="1" ht="38.25" customHeight="1" x14ac:dyDescent="0.2">
      <c r="A18" s="19" t="s">
        <v>54</v>
      </c>
      <c r="B18" s="18" t="str">
        <f>VLOOKUP($A18,Questions!$A$2:$X$333,2,0)</f>
        <v>Are you providing consulting services?</v>
      </c>
      <c r="C18" s="73" t="str">
        <f>VLOOKUP($A18,'START HERE'!$A$23:$F$36,3,0)&amp;""</f>
        <v/>
      </c>
      <c r="D18" s="315" t="str">
        <f>VLOOKUP($A18,'START HERE'!$A$23:$F$36,4,0)&amp;""</f>
        <v/>
      </c>
      <c r="E18" s="167" t="str">
        <f>IF($C18='Auto Responses'!$J$3,VLOOKUP($A18,Questions!$A$2:$X$333,17,0)&amp;"",IF($C18='Auto Responses'!$J$4,VLOOKUP($A18,Questions!$A$2:$X$333,16,0)&amp;"",VLOOKUP($A18,Questions!$A$2:$X$333,15,0)&amp;""))</f>
        <v/>
      </c>
      <c r="F18" s="201" t="str">
        <f>VLOOKUP($A18,'Institution Evaluation'!$A$56:$F$345,6,0)&amp;""</f>
        <v/>
      </c>
      <c r="I18" s="35"/>
      <c r="J18" s="35"/>
    </row>
    <row r="19" spans="1:10" s="1" customFormat="1" ht="51.75" customHeight="1" x14ac:dyDescent="0.2">
      <c r="A19" s="19" t="s">
        <v>61</v>
      </c>
      <c r="B19" s="18" t="str">
        <f>VLOOKUP($A19,Questions!$A$2:$X$333,2,0)</f>
        <v>Does your solution process protected health information (PHI) or any data covered by the Health Insurance Portability and Accountability Act (HIPAA)?</v>
      </c>
      <c r="C19" s="73" t="str">
        <f>VLOOKUP($A19,'START HERE'!$A$23:$F$36,3,0)&amp;""</f>
        <v/>
      </c>
      <c r="D19" s="315" t="str">
        <f>VLOOKUP($A19,'START HERE'!$A$23:$F$36,4,0)&amp;""</f>
        <v/>
      </c>
      <c r="E19" s="167" t="str">
        <f>IF($C19='Auto Responses'!$J$3,VLOOKUP($A19,Questions!$A$2:$X$333,17,0)&amp;"",IF($C19='Auto Responses'!$J$4,VLOOKUP($A19,Questions!$A$2:$X$333,16,0)&amp;"",VLOOKUP($A19,Questions!$A$2:$X$333,15,0)&amp;""))</f>
        <v>Answer "yes" if your solution handles personal health information (PHI), either directly or via a third party.</v>
      </c>
      <c r="F19" s="201" t="str">
        <f>VLOOKUP($A19,'Institution Evaluation'!$A$56:$F$345,6,0)&amp;""</f>
        <v/>
      </c>
      <c r="I19" s="35"/>
      <c r="J19" s="35"/>
    </row>
    <row r="20" spans="1:10" s="1" customFormat="1" ht="51.75" customHeight="1" x14ac:dyDescent="0.2">
      <c r="A20" s="19" t="s">
        <v>64</v>
      </c>
      <c r="B20" s="18" t="str">
        <f>VLOOKUP($A20,Questions!$A$2:$X$333,2,0)</f>
        <v>Is the solution designed to process, store, or transmit credit card information?</v>
      </c>
      <c r="C20" s="73" t="str">
        <f>VLOOKUP($A20,'START HERE'!$A$23:$F$36,3,0)&amp;""</f>
        <v/>
      </c>
      <c r="D20" s="315" t="str">
        <f>VLOOKUP($A20,'START HERE'!$A$23:$F$36,4,0)&amp;""</f>
        <v/>
      </c>
      <c r="E20" s="167" t="str">
        <f>IF($C20='Auto Responses'!$J$3,VLOOKUP($A20,Questions!$A$2:$X$333,17,0)&amp;"",IF($C20='Auto Responses'!$J$4,VLOOKUP($A20,Questions!$A$2:$X$333,16,0)&amp;"",VLOOKUP($A20,Questions!$A$2:$X$333,15,0)&amp;""))</f>
        <v>Answer yes if your solution handles PCI (credit card) information, either directly or via a third party.</v>
      </c>
      <c r="F20" s="201" t="str">
        <f>VLOOKUP($A20,'Institution Evaluation'!$A$56:$F$345,6,0)&amp;""</f>
        <v/>
      </c>
      <c r="I20" s="35"/>
      <c r="J20" s="35"/>
    </row>
    <row r="21" spans="1:10" s="1" customFormat="1" ht="69" customHeight="1" thickBot="1" x14ac:dyDescent="0.25">
      <c r="A21" s="19" t="s">
        <v>67</v>
      </c>
      <c r="B21" s="18"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73" t="str">
        <f>VLOOKUP($A21,'START HERE'!$A$23:$F$36,3,0)&amp;""</f>
        <v/>
      </c>
      <c r="D21" s="315" t="str">
        <f>VLOOKUP($A21,'START HERE'!$A$23:$F$36,4,0)&amp;""</f>
        <v/>
      </c>
      <c r="E21" s="167" t="str">
        <f>IF($C21='Auto Responses'!$J$3,VLOOKUP($A21,Questions!$A$2:$X$333,17,0)&amp;"",IF($C21='Auto Responses'!$J$4,VLOOKUP($A21,Questions!$A$2:$X$333,16,0)&amp;"",VLOOKUP($A21,Questions!$A$2:$X$333,15,0)&amp;""))</f>
        <v/>
      </c>
      <c r="F21" s="201" t="str">
        <f>VLOOKUP($A21,'Institution Evaluation'!$A$56:$F$345,6,0)&amp;""</f>
        <v/>
      </c>
      <c r="G21" s="238" t="s">
        <v>1449</v>
      </c>
      <c r="I21" s="35"/>
      <c r="J21" s="35"/>
    </row>
    <row r="22" spans="1:10" s="1" customFormat="1" ht="37.35" customHeight="1" thickBot="1" x14ac:dyDescent="0.25">
      <c r="A22" s="63" t="str">
        <f>VLOOKUP(LEFT($A23,4),'Auto Responses'!$N$4:$O$38,2,0)&amp;""</f>
        <v xml:space="preserve"> Consulting Services</v>
      </c>
      <c r="B22" s="22"/>
      <c r="C22" s="13" t="s">
        <v>1497</v>
      </c>
      <c r="D22" s="13" t="s">
        <v>72</v>
      </c>
      <c r="E22" s="31" t="s">
        <v>848</v>
      </c>
      <c r="F22" s="187" t="s">
        <v>849</v>
      </c>
      <c r="I22" s="35"/>
      <c r="J22" s="35"/>
    </row>
    <row r="23" spans="1:10" s="1" customFormat="1" ht="28.5" x14ac:dyDescent="0.2">
      <c r="A23" s="19" t="s">
        <v>145</v>
      </c>
      <c r="B23" s="18" t="str">
        <f>VLOOKUP($A23,Questions!$A$2:$X$333,2,0)</f>
        <v>Will the consultant require access to the institution's network resources?*</v>
      </c>
      <c r="C23" s="21"/>
      <c r="D23" s="23"/>
      <c r="E23" s="167" t="str">
        <f>IF($C$18='Auto Responses'!$J$4,'Auto Responses'!$A$5,IF($C23='Auto Responses'!$J$3,VLOOKUP($A23,Questions!$A$2:$X$333,17,0)&amp;"",IF($C23='Auto Responses'!$J$4,VLOOKUP($A23,Questions!$A$2:$X$333,16,0)&amp;"",VLOOKUP($A23,Questions!$A$2:$X$333,15,0)&amp;"")))</f>
        <v/>
      </c>
      <c r="F23" s="201" t="str">
        <f>VLOOKUP($A23,'Institution Evaluation'!$A$56:$F$345,6,0)&amp;""</f>
        <v/>
      </c>
      <c r="I23" s="35"/>
      <c r="J23" s="35"/>
    </row>
    <row r="24" spans="1:10" s="1" customFormat="1" ht="28.5" x14ac:dyDescent="0.2">
      <c r="A24" s="19" t="s">
        <v>149</v>
      </c>
      <c r="B24" s="18" t="str">
        <f>VLOOKUP($A24,Questions!$A$2:$X$333,2,0)</f>
        <v>Has the consultant received training on (sensitive, HIPAA, PCI, etc.) data handling?*</v>
      </c>
      <c r="C24" s="21"/>
      <c r="D24" s="326"/>
      <c r="E24" s="167" t="str">
        <f>IF($C$18='Auto Responses'!$J$4,'Auto Responses'!$A$5,IF($C24='Auto Responses'!$J$3,VLOOKUP($A24,Questions!$A$2:$X$333,17,0)&amp;"",IF($C24='Auto Responses'!$J$4,VLOOKUP($A24,Questions!$A$2:$X$333,16,0)&amp;"",VLOOKUP($A24,Questions!$A$2:$X$333,15,0)&amp;"")))</f>
        <v/>
      </c>
      <c r="F24" s="201" t="str">
        <f>VLOOKUP($A24,'Institution Evaluation'!$A$56:$F$345,6,0)&amp;""</f>
        <v/>
      </c>
      <c r="I24" s="35"/>
      <c r="J24" s="35"/>
    </row>
    <row r="25" spans="1:10" s="1" customFormat="1" ht="36" customHeight="1" x14ac:dyDescent="0.2">
      <c r="A25" s="19" t="s">
        <v>150</v>
      </c>
      <c r="B25" s="18" t="str">
        <f>VLOOKUP($A25,Questions!$A$2:$X$333,2,0)</f>
        <v>Is the data encrypted (at rest) while in the consultant's possession?*</v>
      </c>
      <c r="C25" s="21"/>
      <c r="D25" s="326"/>
      <c r="E25" s="167" t="str">
        <f>IF($C$18='Auto Responses'!$J$4,'Auto Responses'!$A$5,IF($C25='Auto Responses'!$J$3,VLOOKUP($A25,Questions!$A$2:$X$333,17,0)&amp;"",IF($C25='Auto Responses'!$J$4,VLOOKUP($A25,Questions!$A$2:$X$333,16,0)&amp;"",IF($C25='Auto Responses'!$J$5,VLOOKUP($A25,Questions!$A$2:$X$333,18,0)&amp;"",VLOOKUP($A25,Questions!$A$2:$X$333,15,0)&amp;""))))</f>
        <v/>
      </c>
      <c r="F25" s="201" t="str">
        <f>VLOOKUP($A25,'Institution Evaluation'!$A$56:$F$345,6,0)&amp;""</f>
        <v/>
      </c>
      <c r="H25" s="171"/>
      <c r="I25" s="35"/>
      <c r="J25" s="35"/>
    </row>
    <row r="26" spans="1:10" s="1" customFormat="1" ht="15" x14ac:dyDescent="0.2">
      <c r="A26" s="19" t="s">
        <v>152</v>
      </c>
      <c r="B26" s="18" t="str">
        <f>VLOOKUP($A26,Questions!$A$2:$X$333,2,0)</f>
        <v>Can access be restricted based on source IP address?*</v>
      </c>
      <c r="C26" s="21"/>
      <c r="D26" s="326"/>
      <c r="E26" s="167" t="str">
        <f>IF($C$18='Auto Responses'!$J$4,'Auto Responses'!$A$5,IF($C26='Auto Responses'!$J$3,VLOOKUP($A26,Questions!$A$2:$X$333,17,0)&amp;"",IF($C26='Auto Responses'!$J$4,VLOOKUP($A26,Questions!$A$2:$X$333,16,0)&amp;"",IF($C26='Auto Responses'!$J$5,VLOOKUP($A26,Questions!$A$2:$X$333,18,0)&amp;"",VLOOKUP($A26,Questions!$A$2:$X$333,15,0)&amp;""))))</f>
        <v/>
      </c>
      <c r="F26" s="201" t="str">
        <f>VLOOKUP($A26,'Institution Evaluation'!$A$56:$F$345,6,0)&amp;""</f>
        <v/>
      </c>
      <c r="I26" s="35"/>
      <c r="J26" s="35"/>
    </row>
    <row r="27" spans="1:10" s="1" customFormat="1" ht="15" x14ac:dyDescent="0.2">
      <c r="A27" s="19" t="s">
        <v>154</v>
      </c>
      <c r="B27" s="18" t="str">
        <f>VLOOKUP($A27,Questions!$A$2:$X$333,2,0)</f>
        <v>Will the consulting take place on-premises?</v>
      </c>
      <c r="C27" s="21"/>
      <c r="D27" s="326"/>
      <c r="E27" s="167" t="str">
        <f>IF($C$18='Auto Responses'!$J$4,'Auto Responses'!$A$5,IF($C27='Auto Responses'!$J$3,VLOOKUP($A27,Questions!$A$2:$X$333,17,0)&amp;"",IF($C27='Auto Responses'!$J$4,VLOOKUP($A27,Questions!$A$2:$X$333,16,0)&amp;"",VLOOKUP($A27,Questions!$A$2:$X$333,15,0)&amp;"")))</f>
        <v/>
      </c>
      <c r="F27" s="201" t="str">
        <f>VLOOKUP($A27,'Institution Evaluation'!$A$56:$F$345,6,0)&amp;""</f>
        <v/>
      </c>
      <c r="I27" s="35"/>
      <c r="J27" s="35"/>
    </row>
    <row r="28" spans="1:10" s="1" customFormat="1" ht="28.5" x14ac:dyDescent="0.2">
      <c r="A28" s="19" t="s">
        <v>155</v>
      </c>
      <c r="B28" s="18" t="str">
        <f>VLOOKUP($A28,Questions!$A$2:$X$333,2,0)</f>
        <v>Will the consultant require access to hardware in the institution's data centers?</v>
      </c>
      <c r="C28" s="21"/>
      <c r="D28" s="326"/>
      <c r="E28" s="167" t="str">
        <f>IF($C$18='Auto Responses'!$J$4,'Auto Responses'!$A$5,IF($C28='Auto Responses'!$J$3,VLOOKUP($A28,Questions!$A$2:$X$333,17,0)&amp;"",IF($C28='Auto Responses'!$J$4,VLOOKUP($A28,Questions!$A$2:$X$333,16,0)&amp;"",VLOOKUP($A28,Questions!$A$2:$X$333,15,0)&amp;"")))</f>
        <v/>
      </c>
      <c r="F28" s="201" t="str">
        <f>VLOOKUP($A28,'Institution Evaluation'!$A$56:$F$345,6,0)&amp;""</f>
        <v/>
      </c>
      <c r="I28" s="35"/>
      <c r="J28" s="35"/>
    </row>
    <row r="29" spans="1:10" s="1" customFormat="1" ht="28.5" x14ac:dyDescent="0.2">
      <c r="A29" s="19" t="s">
        <v>157</v>
      </c>
      <c r="B29" s="18" t="str">
        <f>VLOOKUP($A29,Questions!$A$2:$X$333,2,0)</f>
        <v>Will the consultant require an account within the institution's domain (@*.edu)?</v>
      </c>
      <c r="C29" s="21"/>
      <c r="D29" s="326"/>
      <c r="E29" s="167" t="str">
        <f>IF($C$18='Auto Responses'!$J$4,'Auto Responses'!$A$5,IF($C29='Auto Responses'!$J$3,VLOOKUP($A29,Questions!$A$2:$X$333,17,0)&amp;"",IF($C29='Auto Responses'!$J$4,VLOOKUP($A29,Questions!$A$2:$X$333,16,0)&amp;"",VLOOKUP($A29,Questions!$A$2:$X$333,15,0)&amp;"")))</f>
        <v/>
      </c>
      <c r="F29" s="201" t="str">
        <f>VLOOKUP($A29,'Institution Evaluation'!$A$56:$F$345,6,0)&amp;""</f>
        <v/>
      </c>
      <c r="I29" s="35"/>
      <c r="J29" s="35"/>
    </row>
    <row r="30" spans="1:10" s="1" customFormat="1" ht="15" x14ac:dyDescent="0.2">
      <c r="A30" s="19" t="s">
        <v>158</v>
      </c>
      <c r="B30" s="18" t="str">
        <f>VLOOKUP($A30,Questions!$A$2:$X$333,2,0)</f>
        <v>Will any data be transferred to the consultant's possession?</v>
      </c>
      <c r="C30" s="21"/>
      <c r="D30" s="326"/>
      <c r="E30" s="167" t="str">
        <f>IF($C$18='Auto Responses'!$J$4,'Auto Responses'!$A$5,IF($C30='Auto Responses'!$J$3,VLOOKUP($A30,Questions!$A$2:$X$333,17,0)&amp;"",IF($C30='Auto Responses'!$J$4,VLOOKUP($A30,Questions!$A$2:$X$333,16,0)&amp;"",VLOOKUP($A30,Questions!$A$2:$X$333,15,0)&amp;"")))</f>
        <v/>
      </c>
      <c r="F30" s="201" t="str">
        <f>VLOOKUP($A30,'Institution Evaluation'!$A$56:$F$345,6,0)&amp;""</f>
        <v/>
      </c>
      <c r="I30" s="35"/>
      <c r="J30" s="35"/>
    </row>
    <row r="31" spans="1:10" s="1" customFormat="1" ht="29.25" thickBot="1" x14ac:dyDescent="0.25">
      <c r="A31" s="19" t="s">
        <v>160</v>
      </c>
      <c r="B31" s="18" t="str">
        <f>VLOOKUP($A31,Questions!$A$2:$X$333,2,0)</f>
        <v>Will the consultant need remote access to the institution's network or systems?</v>
      </c>
      <c r="C31" s="21"/>
      <c r="D31" s="326"/>
      <c r="E31" s="167" t="str">
        <f>IF($C$18='Auto Responses'!$J$4,'Auto Responses'!$A$5,IF($C31='Auto Responses'!$J$3,VLOOKUP($A31,Questions!$A$2:$X$333,17,0)&amp;"",IF($C31='Auto Responses'!$J$4,VLOOKUP($A31,Questions!$A$2:$X$333,16,0)&amp;"",VLOOKUP($A31,Questions!$A$2:$X$333,15,0)&amp;"")))</f>
        <v/>
      </c>
      <c r="F31" s="201" t="str">
        <f>VLOOKUP($A31,'Institution Evaluation'!$A$56:$F$345,6,0)&amp;""</f>
        <v/>
      </c>
      <c r="G31" s="238" t="s">
        <v>1449</v>
      </c>
      <c r="I31" s="35"/>
      <c r="J31" s="35"/>
    </row>
    <row r="32" spans="1:10" s="1" customFormat="1" ht="37.35" customHeight="1" thickBot="1" x14ac:dyDescent="0.25">
      <c r="A32" s="63" t="str">
        <f>VLOOKUP(LEFT($A33,4),'Auto Responses'!$N$4:$O$38,2,0)&amp;""</f>
        <v xml:space="preserve">HIPAA Compliance </v>
      </c>
      <c r="B32" s="22"/>
      <c r="C32" s="13" t="s">
        <v>1497</v>
      </c>
      <c r="D32" s="13" t="s">
        <v>72</v>
      </c>
      <c r="E32" s="31" t="s">
        <v>848</v>
      </c>
      <c r="F32" s="187" t="s">
        <v>849</v>
      </c>
      <c r="I32" s="35"/>
      <c r="J32" s="35"/>
    </row>
    <row r="33" spans="1:10" s="1" customFormat="1" ht="49.5" customHeight="1" x14ac:dyDescent="0.2">
      <c r="A33" s="19" t="s">
        <v>590</v>
      </c>
      <c r="B33" s="18" t="str">
        <f>VLOOKUP($A33,Questions!$A$2:$X$333,2,0)</f>
        <v>Do your workforce members receive regular training related to the Health Insurance Portability and Accountability Act (HIPAA) Privacy and Security Rules and the HITECH Act?*</v>
      </c>
      <c r="C33" s="21"/>
      <c r="D33" s="326"/>
      <c r="E33" s="167" t="str">
        <f>IF($C$19='Auto Responses'!$J$4,'Auto Responses'!$A$7,IF($C33='Auto Responses'!$J$3,VLOOKUP($A33,Questions!$A$2:$X$333,17,0)&amp;"",IF($C33='Auto Responses'!$J$4,VLOOKUP($A33,Questions!$A$2:$X$333,16,0)&amp;"",VLOOKUP($A33,Questions!$A$2:$X$333,15,0)&amp;"")))</f>
        <v>Refer to HIPAA regulations documentation for supplemental guidance in this section.</v>
      </c>
      <c r="F33" s="201" t="str">
        <f>VLOOKUP($A33,'Institution Evaluation'!$A$56:$F$345,6,0)&amp;""</f>
        <v/>
      </c>
      <c r="I33" s="35"/>
      <c r="J33" s="35"/>
    </row>
    <row r="34" spans="1:10" s="1" customFormat="1" ht="49.5" customHeight="1" x14ac:dyDescent="0.2">
      <c r="A34" s="19" t="s">
        <v>595</v>
      </c>
      <c r="B34" s="18" t="str">
        <f>VLOOKUP($A34,Questions!$A$2:$X$333,2,0)</f>
        <v>Have you identified areas of risk?*</v>
      </c>
      <c r="C34" s="21"/>
      <c r="D34" s="326"/>
      <c r="E34" s="167" t="str">
        <f>IF($C$19='Auto Responses'!$J$4,'Auto Responses'!$A$7,IF($C34='Auto Responses'!$J$3,VLOOKUP($A34,Questions!$A$2:$X$333,17,0)&amp;"",IF($C34='Auto Responses'!$J$4,VLOOKUP($A34,Questions!$A$2:$X$333,16,0)&amp;"",VLOOKUP($A34,Questions!$A$2:$X$333,15,0)&amp;"")))</f>
        <v>Refer to HIPAA regulations documentation for supplemental guidance in this section.</v>
      </c>
      <c r="F34" s="201" t="str">
        <f>VLOOKUP($A34,'Institution Evaluation'!$A$56:$F$345,6,0)&amp;""</f>
        <v/>
      </c>
      <c r="I34" s="35"/>
      <c r="J34" s="35"/>
    </row>
    <row r="35" spans="1:10" s="1" customFormat="1" ht="49.5" customHeight="1" x14ac:dyDescent="0.2">
      <c r="A35" s="19" t="s">
        <v>597</v>
      </c>
      <c r="B35" s="18" t="str">
        <f>VLOOKUP($A35,Questions!$A$2:$X$333,2,0)</f>
        <v>Have the relevant policies/plans been tested?*</v>
      </c>
      <c r="C35" s="21"/>
      <c r="D35" s="326"/>
      <c r="E35" s="167" t="str">
        <f>IF($C$19='Auto Responses'!$J$4,'Auto Responses'!$A$7,IF($C35='Auto Responses'!$J$3,VLOOKUP($A35,Questions!$A$2:$X$333,17,0)&amp;"",IF($C35='Auto Responses'!$J$4,VLOOKUP($A35,Questions!$A$2:$X$333,16,0)&amp;"",VLOOKUP($A35,Questions!$A$2:$X$333,15,0)&amp;"")))</f>
        <v>Refer to HIPAA regulations documentation for supplemental guidance in this section.</v>
      </c>
      <c r="F35" s="201" t="str">
        <f>VLOOKUP($A35,'Institution Evaluation'!$A$56:$F$345,6,0)&amp;""</f>
        <v/>
      </c>
      <c r="I35" s="35"/>
      <c r="J35" s="35"/>
    </row>
    <row r="36" spans="1:10" s="1" customFormat="1" ht="49.5" customHeight="1" x14ac:dyDescent="0.2">
      <c r="A36" s="19" t="s">
        <v>599</v>
      </c>
      <c r="B36" s="18" t="str">
        <f>VLOOKUP($A36,Questions!$A$2:$X$333,2,0)</f>
        <v>Have you entered into a Business Associate Agreements with all subcontractors who may have access to protected health information (PHI)?*</v>
      </c>
      <c r="C36" s="21"/>
      <c r="D36" s="326"/>
      <c r="E36" s="167" t="str">
        <f>IF($C$19='Auto Responses'!$J$4,'Auto Responses'!$A$7,IF($C36='Auto Responses'!$J$3,VLOOKUP($A36,Questions!$A$2:$X$333,17,0)&amp;"",IF($C36='Auto Responses'!$J$4,VLOOKUP($A36,Questions!$A$2:$X$333,16,0)&amp;"",VLOOKUP($A36,Questions!$A$2:$X$333,15,0)&amp;"")))</f>
        <v>Refer to HIPAA regulations documentation for supplemental guidance in this section.</v>
      </c>
      <c r="F36" s="201" t="str">
        <f>VLOOKUP($A36,'Institution Evaluation'!$A$56:$F$345,6,0)&amp;""</f>
        <v/>
      </c>
      <c r="I36" s="35"/>
      <c r="J36" s="35"/>
    </row>
    <row r="37" spans="1:10" s="1" customFormat="1" ht="49.5" customHeight="1" x14ac:dyDescent="0.2">
      <c r="A37" s="19" t="s">
        <v>601</v>
      </c>
      <c r="B37" s="18" t="str">
        <f>VLOOKUP($A37,Questions!$A$2:$X$333,2,0)</f>
        <v>Do you monitor or receive information regarding changes in HIPAA regulations?</v>
      </c>
      <c r="C37" s="21"/>
      <c r="D37" s="326"/>
      <c r="E37" s="167" t="str">
        <f>IF($C$19='Auto Responses'!$J$4,'Auto Responses'!$A$7,IF($C37='Auto Responses'!$J$3,VLOOKUP($A37,Questions!$A$2:$X$333,17,0)&amp;"",IF($C37='Auto Responses'!$J$4,VLOOKUP($A37,Questions!$A$2:$X$333,16,0)&amp;"",VLOOKUP($A37,Questions!$A$2:$X$333,15,0)&amp;"")))</f>
        <v>Refer to HIPAA regulations documentation for supplemental guidance in this section.</v>
      </c>
      <c r="F37" s="201" t="str">
        <f>VLOOKUP($A37,'Institution Evaluation'!$A$56:$F$345,6,0)&amp;""</f>
        <v/>
      </c>
      <c r="I37" s="35"/>
      <c r="J37" s="35"/>
    </row>
    <row r="38" spans="1:10" s="1" customFormat="1" ht="49.5" customHeight="1" x14ac:dyDescent="0.2">
      <c r="A38" s="19" t="s">
        <v>602</v>
      </c>
      <c r="B38" s="18" t="str">
        <f>VLOOKUP($A38,Questions!$A$2:$X$333,2,0)</f>
        <v>Has your organization designated HIPAA Privacy and Security officers as required by the rules?</v>
      </c>
      <c r="C38" s="21"/>
      <c r="D38" s="326"/>
      <c r="E38" s="167" t="str">
        <f>IF($C$19='Auto Responses'!$J$4,'Auto Responses'!$A$7,IF($C38='Auto Responses'!$J$3,VLOOKUP($A38,Questions!$A$2:$X$333,17,0)&amp;"",IF($C38='Auto Responses'!$J$4,VLOOKUP($A38,Questions!$A$2:$X$333,16,0)&amp;"",VLOOKUP($A38,Questions!$A$2:$X$333,15,0)&amp;"")))</f>
        <v>Refer to HIPAA regulations documentation for supplemental guidance in this section.</v>
      </c>
      <c r="F38" s="201" t="str">
        <f>VLOOKUP($A38,'Institution Evaluation'!$A$56:$F$345,6,0)&amp;""</f>
        <v/>
      </c>
      <c r="I38" s="35"/>
      <c r="J38" s="35"/>
    </row>
    <row r="39" spans="1:10" s="1" customFormat="1" ht="49.5" customHeight="1" x14ac:dyDescent="0.2">
      <c r="A39" s="19" t="s">
        <v>603</v>
      </c>
      <c r="B39" s="18" t="str">
        <f>VLOOKUP($A39,Questions!$A$2:$X$333,2,0)</f>
        <v>Do you comply with the requirements of the Health Information Technology for Economic and Clinical Health Act (HITECH)?</v>
      </c>
      <c r="C39" s="21"/>
      <c r="D39" s="326"/>
      <c r="E39" s="167" t="str">
        <f>IF($C$19='Auto Responses'!$J$4,'Auto Responses'!$A$7,IF($C39='Auto Responses'!$J$3,VLOOKUP($A39,Questions!$A$2:$X$333,17,0)&amp;"",IF($C39='Auto Responses'!$J$4,VLOOKUP($A39,Questions!$A$2:$X$333,16,0)&amp;"",VLOOKUP($A39,Questions!$A$2:$X$333,15,0)&amp;"")))</f>
        <v>Refer to HIPAA regulations documentation for supplemental guidance in this section.</v>
      </c>
      <c r="F39" s="201" t="str">
        <f>VLOOKUP($A39,'Institution Evaluation'!$A$56:$F$345,6,0)&amp;""</f>
        <v/>
      </c>
      <c r="I39" s="35"/>
      <c r="J39" s="35"/>
    </row>
    <row r="40" spans="1:10" s="1" customFormat="1" ht="49.5" customHeight="1" x14ac:dyDescent="0.2">
      <c r="A40" s="19" t="s">
        <v>605</v>
      </c>
      <c r="B40" s="18" t="str">
        <f>VLOOKUP($A40,Questions!$A$2:$X$333,2,0)</f>
        <v>Have you conducted a risk analysis as required under the HIPAA Security Rule?</v>
      </c>
      <c r="C40" s="21"/>
      <c r="D40" s="326"/>
      <c r="E40" s="167" t="str">
        <f>IF($C$19='Auto Responses'!$J$4,'Auto Responses'!$A$7,IF($C40='Auto Responses'!$J$3,VLOOKUP($A40,Questions!$A$2:$X$333,17,0)&amp;"",IF($C40='Auto Responses'!$J$4,VLOOKUP($A40,Questions!$A$2:$X$333,16,0)&amp;"",VLOOKUP($A40,Questions!$A$2:$X$333,15,0)&amp;"")))</f>
        <v>Refer to HIPAA regulations documentation for supplemental guidance in this section.</v>
      </c>
      <c r="F40" s="201" t="str">
        <f>VLOOKUP($A40,'Institution Evaluation'!$A$56:$F$345,6,0)&amp;""</f>
        <v/>
      </c>
      <c r="I40" s="35"/>
      <c r="J40" s="35"/>
    </row>
    <row r="41" spans="1:10" s="1" customFormat="1" ht="49.5" customHeight="1" x14ac:dyDescent="0.2">
      <c r="A41" s="19" t="s">
        <v>607</v>
      </c>
      <c r="B41" s="18" t="str">
        <f>VLOOKUP($A41,Questions!$A$2:$X$333,2,0)</f>
        <v>Have you taken actions to mitigate the identified risks?</v>
      </c>
      <c r="C41" s="21"/>
      <c r="D41" s="326"/>
      <c r="E41" s="167" t="str">
        <f>IF($C$19='Auto Responses'!$J$4,'Auto Responses'!$A$7,IF($C41='Auto Responses'!$J$3,VLOOKUP($A41,Questions!$A$2:$X$333,17,0)&amp;"",IF($C41='Auto Responses'!$J$4,VLOOKUP($A41,Questions!$A$2:$X$333,16,0)&amp;"",VLOOKUP($A41,Questions!$A$2:$X$333,15,0)&amp;"")))</f>
        <v>Refer to HIPAA regulations documentation for supplemental guidance in this section.</v>
      </c>
      <c r="F41" s="201" t="str">
        <f>VLOOKUP($A41,'Institution Evaluation'!$A$56:$F$345,6,0)&amp;""</f>
        <v/>
      </c>
      <c r="I41" s="35"/>
      <c r="J41" s="35"/>
    </row>
    <row r="42" spans="1:10" s="1" customFormat="1" ht="49.5" customHeight="1" x14ac:dyDescent="0.2">
      <c r="A42" s="19" t="s">
        <v>609</v>
      </c>
      <c r="B42" s="18" t="str">
        <f>VLOOKUP($A42,Questions!$A$2:$X$333,2,0)</f>
        <v>Does your application require user and system administrator password changes at a frequency no greater than 90 days?</v>
      </c>
      <c r="C42" s="21"/>
      <c r="D42" s="326"/>
      <c r="E42" s="167" t="str">
        <f>IF($C$19='Auto Responses'!$J$4,'Auto Responses'!$A$7,IF($C42='Auto Responses'!$J$3,VLOOKUP($A42,Questions!$A$2:$X$333,17,0)&amp;"",IF($C42='Auto Responses'!$J$4,VLOOKUP($A42,Questions!$A$2:$X$333,16,0)&amp;"",VLOOKUP($A42,Questions!$A$2:$X$333,15,0)&amp;"")))</f>
        <v>Refer to HIPAA regulations documentation for supplemental guidance in this section.</v>
      </c>
      <c r="F42" s="201" t="str">
        <f>VLOOKUP($A42,'Institution Evaluation'!$A$56:$F$345,6,0)&amp;""</f>
        <v/>
      </c>
      <c r="I42" s="35"/>
      <c r="J42" s="35"/>
    </row>
    <row r="43" spans="1:10" s="1" customFormat="1" ht="49.5" customHeight="1" x14ac:dyDescent="0.2">
      <c r="A43" s="19" t="s">
        <v>611</v>
      </c>
      <c r="B43" s="18" t="str">
        <f>VLOOKUP($A43,Questions!$A$2:$X$333,2,0)</f>
        <v>Does your application require users to set their own password after an administrator reset or on first use of the account?</v>
      </c>
      <c r="C43" s="21"/>
      <c r="D43" s="320"/>
      <c r="E43" s="167" t="str">
        <f>IF($C$19='Auto Responses'!$J$4,'Auto Responses'!$A$7,IF($C43='Auto Responses'!$J$3,VLOOKUP($A43,Questions!$A$2:$X$333,17,0)&amp;"",IF($C43='Auto Responses'!$J$4,VLOOKUP($A43,Questions!$A$2:$X$333,16,0)&amp;"",VLOOKUP($A43,Questions!$A$2:$X$333,15,0)&amp;"")))</f>
        <v>Refer to HIPAA regulations documentation for supplemental guidance in this section.</v>
      </c>
      <c r="F43" s="201" t="str">
        <f>VLOOKUP($A43,'Institution Evaluation'!$A$56:$F$345,6,0)&amp;""</f>
        <v/>
      </c>
      <c r="I43" s="35"/>
      <c r="J43" s="35"/>
    </row>
    <row r="44" spans="1:10" s="1" customFormat="1" ht="49.5" customHeight="1" x14ac:dyDescent="0.2">
      <c r="A44" s="19" t="s">
        <v>613</v>
      </c>
      <c r="B44" s="18" t="str">
        <f>VLOOKUP($A44,Questions!$A$2:$X$333,2,0)</f>
        <v>Does your application lock out an account after a number of failed login attempts?</v>
      </c>
      <c r="C44" s="21"/>
      <c r="D44" s="320"/>
      <c r="E44" s="167" t="str">
        <f>IF($C$19='Auto Responses'!$J$4,'Auto Responses'!$A$7,IF($C44='Auto Responses'!$J$3,VLOOKUP($A44,Questions!$A$2:$X$333,17,0)&amp;"",IF($C44='Auto Responses'!$J$4,VLOOKUP($A44,Questions!$A$2:$X$333,16,0)&amp;"",VLOOKUP($A44,Questions!$A$2:$X$333,15,0)&amp;"")))</f>
        <v>Refer to HIPAA regulations documentation for supplemental guidance in this section.</v>
      </c>
      <c r="F44" s="201" t="str">
        <f>VLOOKUP($A44,'Institution Evaluation'!$A$56:$F$345,6,0)&amp;""</f>
        <v/>
      </c>
      <c r="I44" s="35"/>
      <c r="J44" s="35"/>
    </row>
    <row r="45" spans="1:10" s="1" customFormat="1" ht="49.5" customHeight="1" x14ac:dyDescent="0.2">
      <c r="A45" s="19" t="s">
        <v>615</v>
      </c>
      <c r="B45" s="18" t="str">
        <f>VLOOKUP($A45,Questions!$A$2:$X$333,2,0)</f>
        <v>Does your application automatically lock or log-out an account after a period of inactivity?</v>
      </c>
      <c r="C45" s="21"/>
      <c r="D45" s="320"/>
      <c r="E45" s="167" t="str">
        <f>IF($C$19='Auto Responses'!$J$4,'Auto Responses'!$A$7,IF($C45='Auto Responses'!$J$3,VLOOKUP($A45,Questions!$A$2:$X$333,17,0)&amp;"",IF($C45='Auto Responses'!$J$4,VLOOKUP($A45,Questions!$A$2:$X$333,16,0)&amp;"",VLOOKUP($A45,Questions!$A$2:$X$333,15,0)&amp;"")))</f>
        <v>Refer to HIPAA regulations documentation for supplemental guidance in this section.</v>
      </c>
      <c r="F45" s="201" t="str">
        <f>VLOOKUP($A45,'Institution Evaluation'!$A$56:$F$345,6,0)&amp;""</f>
        <v/>
      </c>
      <c r="I45" s="35"/>
      <c r="J45" s="35"/>
    </row>
    <row r="46" spans="1:10" s="1" customFormat="1" ht="49.5" customHeight="1" x14ac:dyDescent="0.2">
      <c r="A46" s="19" t="s">
        <v>617</v>
      </c>
      <c r="B46" s="18" t="str">
        <f>VLOOKUP($A46,Questions!$A$2:$X$333,2,0)</f>
        <v>Are passwords visible in plain text, whether when stored or entered, including service level accounts (i.e., database accounts, etc.)?</v>
      </c>
      <c r="C46" s="21"/>
      <c r="D46" s="320"/>
      <c r="E46" s="167" t="str">
        <f>IF($C$19='Auto Responses'!$J$4,'Auto Responses'!$A$7,IF($C46='Auto Responses'!$J$3,VLOOKUP($A46,Questions!$A$2:$X$333,17,0)&amp;"",IF($C46='Auto Responses'!$J$4,VLOOKUP($A46,Questions!$A$2:$X$333,16,0)&amp;"",VLOOKUP($A46,Questions!$A$2:$X$333,15,0)&amp;"")))</f>
        <v>Refer to HIPAA regulations documentation for supplemental guidance in this section.</v>
      </c>
      <c r="F46" s="201" t="str">
        <f>VLOOKUP($A46,'Institution Evaluation'!$A$56:$F$345,6,0)&amp;""</f>
        <v/>
      </c>
      <c r="I46" s="35"/>
      <c r="J46" s="35"/>
    </row>
    <row r="47" spans="1:10" s="1" customFormat="1" ht="49.5" customHeight="1" x14ac:dyDescent="0.2">
      <c r="A47" s="19" t="s">
        <v>619</v>
      </c>
      <c r="B47" s="18" t="str">
        <f>VLOOKUP($A47,Questions!$A$2:$X$333,2,0)</f>
        <v>If the application is institution-hosted, can all service level and administrative account passwords be changed by the institution?</v>
      </c>
      <c r="C47" s="21"/>
      <c r="D47" s="320"/>
      <c r="E47" s="167" t="str">
        <f>IF($C$19='Auto Responses'!$J$4,'Auto Responses'!$A$7,IF($C47='Auto Responses'!$J$3,VLOOKUP($A47,Questions!$A$2:$X$333,17,0)&amp;"",IF($C47='Auto Responses'!$J$4,VLOOKUP($A47,Questions!$A$2:$X$333,16,0)&amp;"",VLOOKUP($A47,Questions!$A$2:$X$333,15,0)&amp;"")))</f>
        <v>Refer to HIPAA regulations documentation for supplemental guidance in this section.</v>
      </c>
      <c r="F47" s="201" t="str">
        <f>VLOOKUP($A47,'Institution Evaluation'!$A$56:$F$345,6,0)&amp;""</f>
        <v/>
      </c>
      <c r="I47" s="35"/>
      <c r="J47" s="35"/>
    </row>
    <row r="48" spans="1:10" s="1" customFormat="1" ht="49.5" customHeight="1" x14ac:dyDescent="0.2">
      <c r="A48" s="19" t="s">
        <v>621</v>
      </c>
      <c r="B48" s="18" t="str">
        <f>VLOOKUP($A48,Questions!$A$2:$X$333,2,0)</f>
        <v>Does your application provide the ability to define user access levels?</v>
      </c>
      <c r="C48" s="21"/>
      <c r="D48" s="320"/>
      <c r="E48" s="167" t="str">
        <f>IF($C$19='Auto Responses'!$J$4,'Auto Responses'!$A$7,IF($C48='Auto Responses'!$J$3,VLOOKUP($A48,Questions!$A$2:$X$333,17,0)&amp;"",IF($C48='Auto Responses'!$J$4,VLOOKUP($A48,Questions!$A$2:$X$333,16,0)&amp;"",VLOOKUP($A48,Questions!$A$2:$X$333,15,0)&amp;"")))</f>
        <v>Refer to HIPAA regulations documentation for supplemental guidance in this section.</v>
      </c>
      <c r="F48" s="201" t="str">
        <f>VLOOKUP($A48,'Institution Evaluation'!$A$56:$F$345,6,0)&amp;""</f>
        <v/>
      </c>
      <c r="I48" s="35"/>
      <c r="J48" s="35"/>
    </row>
    <row r="49" spans="1:10" s="1" customFormat="1" ht="49.5" customHeight="1" x14ac:dyDescent="0.2">
      <c r="A49" s="19" t="s">
        <v>623</v>
      </c>
      <c r="B49" s="18" t="str">
        <f>VLOOKUP($A49,Questions!$A$2:$X$333,2,0)</f>
        <v>Does your application support varying levels of access to administrative tasks defined individually per user?</v>
      </c>
      <c r="C49" s="21"/>
      <c r="D49" s="320"/>
      <c r="E49" s="167" t="str">
        <f>IF($C$19='Auto Responses'!$J$4,'Auto Responses'!$A$7,IF($C49='Auto Responses'!$J$3,VLOOKUP($A49,Questions!$A$2:$X$333,17,0)&amp;"",IF($C49='Auto Responses'!$J$4,VLOOKUP($A49,Questions!$A$2:$X$333,16,0)&amp;"",VLOOKUP($A49,Questions!$A$2:$X$333,15,0)&amp;"")))</f>
        <v>Refer to HIPAA regulations documentation for supplemental guidance in this section.</v>
      </c>
      <c r="F49" s="201" t="str">
        <f>VLOOKUP($A49,'Institution Evaluation'!$A$56:$F$345,6,0)&amp;""</f>
        <v/>
      </c>
      <c r="I49" s="35"/>
      <c r="J49" s="35"/>
    </row>
    <row r="50" spans="1:10" s="1" customFormat="1" ht="49.5" customHeight="1" x14ac:dyDescent="0.2">
      <c r="A50" s="19" t="s">
        <v>625</v>
      </c>
      <c r="B50" s="18" t="str">
        <f>VLOOKUP($A50,Questions!$A$2:$X$333,2,0)</f>
        <v>Does your application support varying levels of access to records based on user ID?</v>
      </c>
      <c r="C50" s="21"/>
      <c r="D50" s="320"/>
      <c r="E50" s="167" t="str">
        <f>IF($C$19='Auto Responses'!$J$4,'Auto Responses'!$A$7,IF($C50='Auto Responses'!$J$3,VLOOKUP($A50,Questions!$A$2:$X$333,17,0)&amp;"",IF($C50='Auto Responses'!$J$4,VLOOKUP($A50,Questions!$A$2:$X$333,16,0)&amp;"",VLOOKUP($A50,Questions!$A$2:$X$333,15,0)&amp;"")))</f>
        <v>Refer to HIPAA regulations documentation for supplemental guidance in this section.</v>
      </c>
      <c r="F50" s="201" t="str">
        <f>VLOOKUP($A50,'Institution Evaluation'!$A$56:$F$345,6,0)&amp;""</f>
        <v/>
      </c>
      <c r="I50" s="35"/>
      <c r="J50" s="35"/>
    </row>
    <row r="51" spans="1:10" s="1" customFormat="1" ht="49.5" customHeight="1" x14ac:dyDescent="0.2">
      <c r="A51" s="19" t="s">
        <v>626</v>
      </c>
      <c r="B51" s="18" t="str">
        <f>VLOOKUP($A51,Questions!$A$2:$X$333,2,0)</f>
        <v>Is there a limit to the number of groups to which a user can be assigned?</v>
      </c>
      <c r="C51" s="21"/>
      <c r="D51" s="320"/>
      <c r="E51" s="167" t="str">
        <f>IF($C$19='Auto Responses'!$J$4,'Auto Responses'!$A$7,IF($C51='Auto Responses'!$J$3,VLOOKUP($A51,Questions!$A$2:$X$333,17,0)&amp;"",IF($C51='Auto Responses'!$J$4,VLOOKUP($A51,Questions!$A$2:$X$333,16,0)&amp;"",VLOOKUP($A51,Questions!$A$2:$X$333,15,0)&amp;"")))</f>
        <v>Refer to HIPAA regulations documentation for supplemental guidance in this section.</v>
      </c>
      <c r="F51" s="201" t="str">
        <f>VLOOKUP($A51,'Institution Evaluation'!$A$56:$F$345,6,0)&amp;""</f>
        <v/>
      </c>
      <c r="I51" s="35"/>
      <c r="J51" s="35"/>
    </row>
    <row r="52" spans="1:10" s="1" customFormat="1" ht="49.5" customHeight="1" x14ac:dyDescent="0.2">
      <c r="A52" s="19" t="s">
        <v>628</v>
      </c>
      <c r="B52" s="18" t="str">
        <f>VLOOKUP($A52,Questions!$A$2:$X$333,2,0)</f>
        <v>Do accounts used for solution provider-supplied remote support abide by the same authentication policies and access logging as the rest of the system?</v>
      </c>
      <c r="C52" s="21"/>
      <c r="D52" s="320"/>
      <c r="E52" s="167" t="str">
        <f>IF($C$19='Auto Responses'!$J$4,'Auto Responses'!$A$7,IF($C52='Auto Responses'!$J$3,VLOOKUP($A52,Questions!$A$2:$X$333,17,0)&amp;"",IF($C52='Auto Responses'!$J$4,VLOOKUP($A52,Questions!$A$2:$X$333,16,0)&amp;"",VLOOKUP($A52,Questions!$A$2:$X$333,15,0)&amp;"")))</f>
        <v>Refer to HIPAA regulations documentation for supplemental guidance in this section.</v>
      </c>
      <c r="F52" s="201" t="str">
        <f>VLOOKUP($A52,'Institution Evaluation'!$A$56:$F$345,6,0)&amp;""</f>
        <v/>
      </c>
      <c r="I52" s="35"/>
      <c r="J52" s="35"/>
    </row>
    <row r="53" spans="1:10" s="1" customFormat="1" ht="49.5" customHeight="1" x14ac:dyDescent="0.2">
      <c r="A53" s="19" t="s">
        <v>629</v>
      </c>
      <c r="B53" s="18" t="str">
        <f>VLOOKUP($A53,Questions!$A$2:$X$333,2,0)</f>
        <v>Does the application log record access including specific user, date/time of access, and originating IP or device?</v>
      </c>
      <c r="C53" s="21"/>
      <c r="D53" s="320"/>
      <c r="E53" s="167" t="str">
        <f>IF($C$19='Auto Responses'!$J$4,'Auto Responses'!$A$7,IF($C53='Auto Responses'!$J$3,VLOOKUP($A53,Questions!$A$2:$X$333,17,0)&amp;"",IF($C53='Auto Responses'!$J$4,VLOOKUP($A53,Questions!$A$2:$X$333,16,0)&amp;"",VLOOKUP($A53,Questions!$A$2:$X$333,15,0)&amp;"")))</f>
        <v>Refer to HIPAA regulations documentation for supplemental guidance in this section.</v>
      </c>
      <c r="F53" s="201" t="str">
        <f>VLOOKUP($A53,'Institution Evaluation'!$A$56:$F$345,6,0)&amp;""</f>
        <v/>
      </c>
      <c r="I53" s="35"/>
      <c r="J53" s="35"/>
    </row>
    <row r="54" spans="1:10" s="1" customFormat="1" ht="49.5" customHeight="1" x14ac:dyDescent="0.2">
      <c r="A54" s="19" t="s">
        <v>630</v>
      </c>
      <c r="B54" s="18" t="str">
        <f>VLOOKUP($A54,Questions!$A$2:$X$333,2,0)</f>
        <v>Does the application log administrative activity, such as user account access changes and password changes, including specific user, date/time of changes, and originating IP or device?</v>
      </c>
      <c r="C54" s="21"/>
      <c r="D54" s="320"/>
      <c r="E54" s="167" t="str">
        <f>IF($C$19='Auto Responses'!$J$4,'Auto Responses'!$A$7,IF($C54='Auto Responses'!$J$3,VLOOKUP($A54,Questions!$A$2:$X$333,17,0)&amp;"",IF($C54='Auto Responses'!$J$4,VLOOKUP($A54,Questions!$A$2:$X$333,16,0)&amp;"",VLOOKUP($A54,Questions!$A$2:$X$333,15,0)&amp;"")))</f>
        <v>Refer to HIPAA regulations documentation for supplemental guidance in this section.</v>
      </c>
      <c r="F54" s="201" t="str">
        <f>VLOOKUP($A54,'Institution Evaluation'!$A$56:$F$345,6,0)&amp;""</f>
        <v/>
      </c>
      <c r="I54" s="35"/>
      <c r="J54" s="35"/>
    </row>
    <row r="55" spans="1:10" s="1" customFormat="1" ht="49.5" customHeight="1" x14ac:dyDescent="0.2">
      <c r="A55" s="19" t="s">
        <v>632</v>
      </c>
      <c r="B55" s="18" t="str">
        <f>VLOOKUP($A55,Questions!$A$2:$X$333,2,0)</f>
        <v>Do you retain logs for at least as long as required by HIPAA regulations?</v>
      </c>
      <c r="C55" s="76"/>
      <c r="D55" s="320"/>
      <c r="E55" s="167" t="str">
        <f>IF($C$19='Auto Responses'!$J$4,'Auto Responses'!$A$7,IF($C55='Auto Responses'!$J$3,VLOOKUP($A55,Questions!$A$2:$X$333,17,0)&amp;"",IF($C55='Auto Responses'!$J$4,VLOOKUP($A55,Questions!$A$2:$X$333,16,0)&amp;"",VLOOKUP($A55,Questions!$A$2:$X$333,15,0)&amp;"")))</f>
        <v>Refer to HIPAA regulations documentation for supplemental guidance in this section.</v>
      </c>
      <c r="F55" s="201" t="str">
        <f>VLOOKUP($A55,'Institution Evaluation'!$A$56:$F$345,6,0)&amp;""</f>
        <v/>
      </c>
      <c r="I55" s="35"/>
      <c r="J55" s="35"/>
    </row>
    <row r="56" spans="1:10" s="1" customFormat="1" ht="49.5" customHeight="1" x14ac:dyDescent="0.2">
      <c r="A56" s="19" t="s">
        <v>634</v>
      </c>
      <c r="B56" s="18" t="str">
        <f>VLOOKUP($A56,Questions!$A$2:$X$333,2,0)</f>
        <v>Can the application logs be archived?</v>
      </c>
      <c r="C56" s="21"/>
      <c r="D56" s="320"/>
      <c r="E56" s="167" t="str">
        <f>IF($C$19='Auto Responses'!$J$4,'Auto Responses'!$A$7,IF($C56='Auto Responses'!$J$3,VLOOKUP($A56,Questions!$A$2:$X$333,17,0)&amp;"",IF($C56='Auto Responses'!$J$4,VLOOKUP($A56,Questions!$A$2:$X$333,16,0)&amp;"",VLOOKUP($A56,Questions!$A$2:$X$333,15,0)&amp;"")))</f>
        <v>Refer to HIPAA regulations documentation for supplemental guidance in this section.</v>
      </c>
      <c r="F56" s="201" t="str">
        <f>VLOOKUP($A56,'Institution Evaluation'!$A$56:$F$345,6,0)&amp;""</f>
        <v/>
      </c>
      <c r="I56" s="35"/>
      <c r="J56" s="35"/>
    </row>
    <row r="57" spans="1:10" s="1" customFormat="1" ht="49.5" customHeight="1" x14ac:dyDescent="0.2">
      <c r="A57" s="19" t="s">
        <v>636</v>
      </c>
      <c r="B57" s="18" t="str">
        <f>VLOOKUP($A57,Questions!$A$2:$X$333,2,0)</f>
        <v>Can the application logs be saved externally?</v>
      </c>
      <c r="C57" s="21"/>
      <c r="D57" s="320"/>
      <c r="E57" s="167" t="str">
        <f>IF($C$19='Auto Responses'!$J$4,'Auto Responses'!$A$7,IF($C57='Auto Responses'!$J$3,VLOOKUP($A57,Questions!$A$2:$X$333,17,0)&amp;"",IF($C57='Auto Responses'!$J$4,VLOOKUP($A57,Questions!$A$2:$X$333,16,0)&amp;"",VLOOKUP($A57,Questions!$A$2:$X$333,15,0)&amp;"")))</f>
        <v>Refer to HIPAA regulations documentation for supplemental guidance in this section.</v>
      </c>
      <c r="F57" s="201" t="str">
        <f>VLOOKUP($A57,'Institution Evaluation'!$A$56:$F$345,6,0)&amp;""</f>
        <v/>
      </c>
      <c r="I57" s="35"/>
      <c r="J57" s="35"/>
    </row>
    <row r="58" spans="1:10" s="1" customFormat="1" ht="49.5" customHeight="1" x14ac:dyDescent="0.2">
      <c r="A58" s="19" t="s">
        <v>638</v>
      </c>
      <c r="B58" s="18" t="str">
        <f>VLOOKUP($A58,Questions!$A$2:$X$333,2,0)</f>
        <v>Do you have a disaster recovery plan and emergency mode operation plan?</v>
      </c>
      <c r="C58" s="21"/>
      <c r="D58" s="320"/>
      <c r="E58" s="167" t="str">
        <f>IF($C$19='Auto Responses'!$J$4,'Auto Responses'!$A$7,IF($C58='Auto Responses'!$J$3,VLOOKUP($A58,Questions!$A$2:$X$333,17,0)&amp;"",IF($C58='Auto Responses'!$J$4,VLOOKUP($A58,Questions!$A$2:$X$333,16,0)&amp;"",VLOOKUP($A58,Questions!$A$2:$X$333,15,0)&amp;"")))</f>
        <v>Refer to HIPAA regulations documentation for supplemental guidance in this section.</v>
      </c>
      <c r="F58" s="201" t="str">
        <f>VLOOKUP($A58,'Institution Evaluation'!$A$56:$F$345,6,0)&amp;""</f>
        <v/>
      </c>
      <c r="I58" s="35"/>
      <c r="J58" s="35"/>
    </row>
    <row r="59" spans="1:10" s="1" customFormat="1" ht="49.5" customHeight="1" x14ac:dyDescent="0.2">
      <c r="A59" s="19" t="s">
        <v>639</v>
      </c>
      <c r="B59" s="18" t="str">
        <f>VLOOKUP($A59,Questions!$A$2:$X$333,2,0)</f>
        <v>Can you provide a HIPAA compliance attestation document?</v>
      </c>
      <c r="C59" s="21"/>
      <c r="D59" s="320"/>
      <c r="E59" s="167" t="str">
        <f>IF($C$19='Auto Responses'!$J$4,'Auto Responses'!$A$7,IF($C59='Auto Responses'!$J$3,VLOOKUP($A59,Questions!$A$2:$X$333,17,0)&amp;"",IF($C59='Auto Responses'!$J$4,VLOOKUP($A59,Questions!$A$2:$X$333,16,0)&amp;"",VLOOKUP($A59,Questions!$A$2:$X$333,15,0)&amp;"")))</f>
        <v>Refer to HIPAA regulations documentation for supplemental guidance in this section.</v>
      </c>
      <c r="F59" s="201" t="str">
        <f>VLOOKUP($A59,'Institution Evaluation'!$A$56:$F$345,6,0)&amp;""</f>
        <v/>
      </c>
      <c r="I59" s="35"/>
      <c r="J59" s="35"/>
    </row>
    <row r="60" spans="1:10" s="1" customFormat="1" ht="49.5" customHeight="1" x14ac:dyDescent="0.2">
      <c r="A60" s="19" t="s">
        <v>641</v>
      </c>
      <c r="B60" s="18" t="str">
        <f>VLOOKUP($A60,Questions!$A$2:$X$333,2,0)</f>
        <v>Are you willing to enter into a Business Associate Agreement (BAA)?</v>
      </c>
      <c r="C60" s="21"/>
      <c r="D60" s="320"/>
      <c r="E60" s="167" t="str">
        <f>IF($C$19='Auto Responses'!$J$4,'Auto Responses'!$A$7,IF($C60='Auto Responses'!$J$3,VLOOKUP($A60,Questions!$A$2:$X$333,17,0)&amp;"",IF($C60='Auto Responses'!$J$4,VLOOKUP($A60,Questions!$A$2:$X$333,16,0)&amp;"",VLOOKUP($A60,Questions!$A$2:$X$333,15,0)&amp;"")))</f>
        <v>Refer to HIPAA regulations documentation for supplemental guidance in this section.</v>
      </c>
      <c r="F60" s="201" t="str">
        <f>VLOOKUP($A60,'Institution Evaluation'!$A$56:$F$345,6,0)&amp;""</f>
        <v/>
      </c>
      <c r="I60" s="35"/>
      <c r="J60" s="35"/>
    </row>
    <row r="61" spans="1:10" s="1" customFormat="1" ht="49.5" customHeight="1" thickBot="1" x14ac:dyDescent="0.25">
      <c r="A61" s="19" t="s">
        <v>643</v>
      </c>
      <c r="B61" s="18" t="str">
        <f>VLOOKUP($A61,Questions!$A$2:$X$333,2,0)</f>
        <v>Do your data backup and retention policies and practices meet HIPAA requirements?</v>
      </c>
      <c r="C61" s="21"/>
      <c r="D61" s="320"/>
      <c r="E61" s="167" t="str">
        <f>IF($C$19='Auto Responses'!$J$4,'Auto Responses'!$A$7,IF($C61='Auto Responses'!$J$3,VLOOKUP($A61,Questions!$A$2:$X$333,17,0)&amp;"",IF($C61='Auto Responses'!$J$4,VLOOKUP($A61,Questions!$A$2:$X$333,16,0)&amp;"",VLOOKUP($A61,Questions!$A$2:$X$333,15,0)&amp;"")))</f>
        <v>Refer to HIPAA regulations documentation for supplemental guidance in this section.</v>
      </c>
      <c r="F61" s="201" t="str">
        <f>VLOOKUP($A61,'Institution Evaluation'!$A$56:$F$345,6,0)&amp;""</f>
        <v/>
      </c>
      <c r="G61" s="238" t="s">
        <v>1449</v>
      </c>
      <c r="I61" s="35"/>
      <c r="J61" s="35"/>
    </row>
    <row r="62" spans="1:10" s="1" customFormat="1" ht="37.35" customHeight="1" thickBot="1" x14ac:dyDescent="0.25">
      <c r="A62" s="63" t="str">
        <f>VLOOKUP(LEFT($A63,4),'Auto Responses'!$N$4:$O$38,2,0)&amp;""</f>
        <v xml:space="preserve"> Payment Card Industry Data Security Standard (PCI DSS)</v>
      </c>
      <c r="B62" s="22"/>
      <c r="C62" s="13" t="s">
        <v>1497</v>
      </c>
      <c r="D62" s="13" t="s">
        <v>72</v>
      </c>
      <c r="E62" s="31" t="s">
        <v>848</v>
      </c>
      <c r="F62" s="187" t="s">
        <v>849</v>
      </c>
      <c r="I62" s="35"/>
      <c r="J62" s="35"/>
    </row>
    <row r="63" spans="1:10" s="1" customFormat="1" ht="38.25" customHeight="1" x14ac:dyDescent="0.2">
      <c r="A63" s="19" t="s">
        <v>644</v>
      </c>
      <c r="B63" s="18" t="str">
        <f>VLOOKUP($A63,Questions!$A$2:$X$333,2,0)</f>
        <v>Do you have a current, executed within the past year, Attestation of Compliance (AoC) or Report on Compliance (RoC)?*</v>
      </c>
      <c r="C63" s="21"/>
      <c r="D63" s="320"/>
      <c r="E63" s="167" t="str">
        <f>IF($C$20='Auto Responses'!$J$4,'Auto Responses'!$A$8,IF($C63='Auto Responses'!$J$3,VLOOKUP($A63,Questions!$A$2:$X$333,17,0)&amp;"",IF($C63='Auto Responses'!$J$4,VLOOKUP($A63,Questions!$A$2:$X$333,16,0)&amp;"",VLOOKUP($A63,Questions!$A$2:$X$333,15,0)&amp;"")))</f>
        <v>Refer to PCI DSS Security Standards for supplemental guidance in this section</v>
      </c>
      <c r="F63" s="201" t="str">
        <f>VLOOKUP($A63,'Institution Evaluation'!$A$56:$F$345,6,0)&amp;""</f>
        <v/>
      </c>
      <c r="I63" s="35"/>
      <c r="J63" s="35"/>
    </row>
    <row r="64" spans="1:10" s="1" customFormat="1" ht="38.25" customHeight="1" x14ac:dyDescent="0.2">
      <c r="A64" s="19" t="s">
        <v>648</v>
      </c>
      <c r="B64" s="18" t="str">
        <f>VLOOKUP($A64,Questions!$A$2:$X$333,2,0)</f>
        <v>Is the application listed as an approved Payment Application Data Security Standard (PA-DSS) application?*</v>
      </c>
      <c r="C64" s="21"/>
      <c r="D64" s="320"/>
      <c r="E64" s="167" t="str">
        <f>IF($C$20='Auto Responses'!$J$4,'Auto Responses'!$A$8,IF($C64='Auto Responses'!$J$3,VLOOKUP($A64,Questions!$A$2:$X$333,17,0)&amp;"",IF($C64='Auto Responses'!$J$4,VLOOKUP($A64,Questions!$A$2:$X$333,16,0)&amp;"",VLOOKUP($A64,Questions!$A$2:$X$333,15,0)&amp;"")))</f>
        <v>Refer to PCI DSS Security Standards for supplemental guidance in this section</v>
      </c>
      <c r="F64" s="201" t="str">
        <f>VLOOKUP($A64,'Institution Evaluation'!$A$56:$F$345,6,0)&amp;""</f>
        <v/>
      </c>
      <c r="I64" s="35"/>
      <c r="J64" s="35"/>
    </row>
    <row r="65" spans="1:10" s="1" customFormat="1" ht="38.25" customHeight="1" x14ac:dyDescent="0.2">
      <c r="A65" s="19" t="s">
        <v>650</v>
      </c>
      <c r="B65" s="18" t="str">
        <f>VLOOKUP($A65,Questions!$A$2:$X$333,2,0)</f>
        <v>Does the system or solutions use a third party to collect, store, process, or transmit cardholder (payment/credit/debt card) data?*</v>
      </c>
      <c r="C65" s="21"/>
      <c r="D65" s="320"/>
      <c r="E65" s="167" t="str">
        <f>IF($C$20='Auto Responses'!$J$4,'Auto Responses'!$A$8,IF($C65='Auto Responses'!$J$3,VLOOKUP($A65,Questions!$A$2:$X$333,17,0)&amp;"",IF($C65='Auto Responses'!$J$4,VLOOKUP($A65,Questions!$A$2:$X$333,16,0)&amp;"",VLOOKUP($A65,Questions!$A$2:$X$333,15,0)&amp;"")))</f>
        <v>Refer to PCI DSS Security Standards for supplemental guidance in this section</v>
      </c>
      <c r="F65" s="201" t="str">
        <f>VLOOKUP($A65,'Institution Evaluation'!$A$56:$F$345,6,0)&amp;""</f>
        <v/>
      </c>
      <c r="I65" s="35"/>
      <c r="J65" s="35"/>
    </row>
    <row r="66" spans="1:10" s="1" customFormat="1" ht="38.25" customHeight="1" x14ac:dyDescent="0.2">
      <c r="A66" s="19" t="s">
        <v>651</v>
      </c>
      <c r="B66" s="18" t="str">
        <f>VLOOKUP($A66,Questions!$A$2:$X$333,2,0)</f>
        <v>Do your systems or solutions store, process, or transmit cardholder (payment/credit/debt card) data?</v>
      </c>
      <c r="C66" s="21"/>
      <c r="D66" s="320"/>
      <c r="E66" s="167" t="str">
        <f>IF($C$20='Auto Responses'!$J$4,'Auto Responses'!$A$8,IF($C66='Auto Responses'!$J$3,VLOOKUP($A66,Questions!$A$2:$X$333,17,0)&amp;"",IF($C66='Auto Responses'!$J$4,VLOOKUP($A66,Questions!$A$2:$X$333,16,0)&amp;"",VLOOKUP($A66,Questions!$A$2:$X$333,15,0)&amp;"")))</f>
        <v>Refer to PCI DSS Security Standards for supplemental guidance in this section</v>
      </c>
      <c r="F66" s="201" t="str">
        <f>VLOOKUP($A66,'Institution Evaluation'!$A$56:$F$345,6,0)&amp;""</f>
        <v/>
      </c>
      <c r="I66" s="35"/>
      <c r="J66" s="35"/>
    </row>
    <row r="67" spans="1:10" s="1" customFormat="1" ht="38.25" customHeight="1" x14ac:dyDescent="0.2">
      <c r="A67" s="19" t="s">
        <v>653</v>
      </c>
      <c r="B67" s="18" t="str">
        <f>VLOOKUP($A67,Questions!$A$2:$X$333,2,0)</f>
        <v>Are you compliant with the Payment Card Industry Data Security Standard (PCI DSS)?</v>
      </c>
      <c r="C67" s="21"/>
      <c r="D67" s="320"/>
      <c r="E67" s="167" t="str">
        <f>IF($C$20='Auto Responses'!$J$4,'Auto Responses'!$A$8,IF($C67='Auto Responses'!$J$3,VLOOKUP($A67,Questions!$A$2:$X$333,17,0)&amp;"",IF($C67='Auto Responses'!$J$4,VLOOKUP($A67,Questions!$A$2:$X$333,16,0)&amp;"",VLOOKUP($A67,Questions!$A$2:$X$333,15,0)&amp;"")))</f>
        <v>Refer to PCI DSS Security Standards for supplemental guidance in this section</v>
      </c>
      <c r="F67" s="201" t="str">
        <f>VLOOKUP($A67,'Institution Evaluation'!$A$56:$F$345,6,0)&amp;""</f>
        <v/>
      </c>
      <c r="I67" s="35"/>
      <c r="J67" s="35"/>
    </row>
    <row r="68" spans="1:10" s="1" customFormat="1" ht="38.25" customHeight="1" x14ac:dyDescent="0.2">
      <c r="A68" s="19" t="s">
        <v>654</v>
      </c>
      <c r="B68" s="18" t="str">
        <f>VLOOKUP($A68,Questions!$A$2:$X$333,2,0)</f>
        <v>Are you classified as a service provider?</v>
      </c>
      <c r="C68" s="21"/>
      <c r="D68" s="320"/>
      <c r="E68" s="167" t="str">
        <f>IF($C$20='Auto Responses'!$J$4,'Auto Responses'!$A$8,IF($C68='Auto Responses'!$J$3,VLOOKUP($A68,Questions!$A$2:$X$333,17,0)&amp;"",IF($C68='Auto Responses'!$J$4,VLOOKUP($A68,Questions!$A$2:$X$333,16,0)&amp;"",VLOOKUP($A68,Questions!$A$2:$X$333,15,0)&amp;"")))</f>
        <v>Refer to PCI DSS Security Standards for supplemental guidance in this section</v>
      </c>
      <c r="F68" s="201" t="str">
        <f>VLOOKUP($A68,'Institution Evaluation'!$A$56:$F$345,6,0)&amp;""</f>
        <v/>
      </c>
      <c r="I68" s="35"/>
      <c r="J68" s="35"/>
    </row>
    <row r="69" spans="1:10" s="1" customFormat="1" ht="38.25" customHeight="1" x14ac:dyDescent="0.2">
      <c r="A69" s="19" t="s">
        <v>656</v>
      </c>
      <c r="B69" s="18" t="str">
        <f>VLOOKUP($A69,Questions!$A$2:$X$333,2,0)</f>
        <v>Are you on the list of Visa approved service providers?</v>
      </c>
      <c r="C69" s="21"/>
      <c r="D69" s="320"/>
      <c r="E69" s="167" t="str">
        <f>IF($C$20='Auto Responses'!$J$4,'Auto Responses'!$A$8,IF($C69='Auto Responses'!$J$3,VLOOKUP($A69,Questions!$A$2:$X$333,17,0)&amp;"",IF($C69='Auto Responses'!$J$4,VLOOKUP($A69,Questions!$A$2:$X$333,16,0)&amp;"",VLOOKUP($A69,Questions!$A$2:$X$333,15,0)&amp;"")))</f>
        <v>Refer to PCI DSS Security Standards for supplemental guidance in this section</v>
      </c>
      <c r="F69" s="201" t="str">
        <f>VLOOKUP($A69,'Institution Evaluation'!$A$56:$F$345,6,0)&amp;""</f>
        <v/>
      </c>
      <c r="I69" s="35"/>
      <c r="J69" s="35"/>
    </row>
    <row r="70" spans="1:10" s="1" customFormat="1" ht="48" customHeight="1" x14ac:dyDescent="0.2">
      <c r="A70" s="19" t="s">
        <v>658</v>
      </c>
      <c r="B70" s="18" t="str">
        <f>VLOOKUP($A70,Questions!$A$2:$X$333,2,0)</f>
        <v>Are you classified as a merchant? If so, what level (1, 2, 3, 4)?</v>
      </c>
      <c r="C70" s="21"/>
      <c r="D70" s="320"/>
      <c r="E70" s="167" t="str">
        <f>IF($C$20='Auto Responses'!$J$4,'Auto Responses'!$A$8,IF($C70='Auto Responses'!$J$3,VLOOKUP($A70,Questions!$A$2:$X$333,17,0)&amp;"",IF($C70='Auto Responses'!$J$4,VLOOKUP($A70,Questions!$A$2:$X$333,16,0)&amp;"",VLOOKUP($A70,Questions!$A$2:$X$333,15,0)&amp;"")))</f>
        <v>Refer to PCI DSS Security Standards for supplemental guidance in this section</v>
      </c>
      <c r="F70" s="201" t="str">
        <f>VLOOKUP($A70,'Institution Evaluation'!$A$56:$F$345,6,0)&amp;""</f>
        <v/>
      </c>
      <c r="I70" s="35"/>
      <c r="J70" s="35"/>
    </row>
    <row r="71" spans="1:10" s="1" customFormat="1" ht="38.25" customHeight="1" x14ac:dyDescent="0.2">
      <c r="A71" s="19" t="s">
        <v>660</v>
      </c>
      <c r="B71" s="18" t="str">
        <f>VLOOKUP($A71,Questions!$A$2:$X$333,2,0)</f>
        <v>Describe the architecture employed by the system to verify and authorize credit card transactions.</v>
      </c>
      <c r="C71" s="76"/>
      <c r="D71" s="320"/>
      <c r="E71" s="167" t="str">
        <f>IF($C$20='Auto Responses'!$J$4,'Auto Responses'!$A$8,IF($C71='Auto Responses'!$J$3,VLOOKUP($A71,Questions!$A$2:$X$333,17,0)&amp;"",IF($C71='Auto Responses'!$J$4,VLOOKUP($A71,Questions!$A$2:$X$333,16,0)&amp;"",VLOOKUP($A71,Questions!$A$2:$X$333,15,0)&amp;"")))</f>
        <v>Refer to PCI DSS Security Standards for supplemental guidance in this section</v>
      </c>
      <c r="F71" s="201" t="str">
        <f>VLOOKUP($A71,'Institution Evaluation'!$A$56:$F$345,6,0)&amp;""</f>
        <v/>
      </c>
      <c r="I71" s="35"/>
      <c r="J71" s="35"/>
    </row>
    <row r="72" spans="1:10" s="1" customFormat="1" ht="38.25" customHeight="1" x14ac:dyDescent="0.2">
      <c r="A72" s="19" t="s">
        <v>661</v>
      </c>
      <c r="B72" s="18" t="str">
        <f>VLOOKUP($A72,Questions!$A$2:$X$333,2,0)</f>
        <v>What payment processors/gateways does the system support?</v>
      </c>
      <c r="C72" s="76"/>
      <c r="D72" s="320"/>
      <c r="E72" s="167" t="str">
        <f>IF($C$20='Auto Responses'!$J$4,'Auto Responses'!$A$8,IF($C72='Auto Responses'!$J$3,VLOOKUP($A72,Questions!$A$2:$X$333,17,0)&amp;"",IF($C72='Auto Responses'!$J$4,VLOOKUP($A72,Questions!$A$2:$X$333,16,0)&amp;"",VLOOKUP($A72,Questions!$A$2:$X$333,15,0)&amp;"")))</f>
        <v>Refer to PCI DSS Security Standards for supplemental guidance in this section</v>
      </c>
      <c r="F72" s="201" t="str">
        <f>VLOOKUP($A72,'Institution Evaluation'!$A$56:$F$345,6,0)&amp;""</f>
        <v/>
      </c>
      <c r="I72" s="35"/>
      <c r="J72" s="35"/>
    </row>
    <row r="73" spans="1:10" s="1" customFormat="1" ht="38.25" customHeight="1" x14ac:dyDescent="0.2">
      <c r="A73" s="19" t="s">
        <v>662</v>
      </c>
      <c r="B73" s="18" t="str">
        <f>VLOOKUP($A73,Questions!$A$2:$X$333,2,0)</f>
        <v>Can the application be installed in a PCI DSS–compliant manner?</v>
      </c>
      <c r="C73" s="21"/>
      <c r="D73" s="320"/>
      <c r="E73" s="167" t="str">
        <f>IF($C$20='Auto Responses'!$J$4,'Auto Responses'!$A$8,IF($C73='Auto Responses'!$J$3,VLOOKUP($A73,Questions!$A$2:$X$333,17,0)&amp;"",IF($C73='Auto Responses'!$J$4,VLOOKUP($A73,Questions!$A$2:$X$333,16,0)&amp;"",VLOOKUP($A73,Questions!$A$2:$X$333,15,0)&amp;"")))</f>
        <v>Refer to PCI DSS Security Standards for supplemental guidance in this section</v>
      </c>
      <c r="F73" s="201" t="str">
        <f>VLOOKUP($A73,'Institution Evaluation'!$A$56:$F$345,6,0)&amp;""</f>
        <v/>
      </c>
      <c r="I73" s="35"/>
      <c r="J73" s="35"/>
    </row>
    <row r="74" spans="1:10" s="1" customFormat="1" ht="71.25" customHeight="1" thickBot="1" x14ac:dyDescent="0.25">
      <c r="A74" s="19" t="s">
        <v>663</v>
      </c>
      <c r="B74" s="18" t="str">
        <f>VLOOKUP($A74,Questions!$A$2:$X$333,2,0)</f>
        <v>Include documentation describing the system's abilities to comply with the PCI DSS and any features or capabilities of the system that must be added or changed in order to operate in compliance with the standards.</v>
      </c>
      <c r="C74" s="76"/>
      <c r="D74" s="320"/>
      <c r="E74" s="167" t="str">
        <f>IF($C$20='Auto Responses'!$J$4,'Auto Responses'!$A$8,IF($C74='Auto Responses'!$J$3,VLOOKUP($A74,Questions!$A$2:$X$333,17,0)&amp;"",IF($C74='Auto Responses'!$J$4,VLOOKUP($A74,Questions!$A$2:$X$333,16,0)&amp;"",VLOOKUP($A74,Questions!$A$2:$X$333,15,0)&amp;"")))</f>
        <v>Refer to PCI DSS Security Standards for supplemental guidance in this section</v>
      </c>
      <c r="F74" s="201" t="str">
        <f>VLOOKUP($A74,'Institution Evaluation'!$A$56:$F$345,6,0)&amp;""</f>
        <v/>
      </c>
      <c r="G74" s="238" t="s">
        <v>1449</v>
      </c>
      <c r="I74" s="35"/>
      <c r="J74" s="35"/>
    </row>
    <row r="75" spans="1:10" s="1" customFormat="1" ht="37.35" customHeight="1" thickBot="1" x14ac:dyDescent="0.25">
      <c r="A75" s="63" t="str">
        <f>VLOOKUP(LEFT($A76,4),'Auto Responses'!$N$4:$O$38,2,0)&amp;""</f>
        <v xml:space="preserve"> On-Premises Data Solutions</v>
      </c>
      <c r="B75" s="22"/>
      <c r="C75" s="13" t="s">
        <v>1497</v>
      </c>
      <c r="D75" s="13" t="s">
        <v>72</v>
      </c>
      <c r="E75" s="31" t="s">
        <v>848</v>
      </c>
      <c r="F75" s="187" t="s">
        <v>849</v>
      </c>
      <c r="I75" s="35"/>
      <c r="J75" s="35"/>
    </row>
    <row r="76" spans="1:10" s="1" customFormat="1" ht="36" customHeight="1" x14ac:dyDescent="0.2">
      <c r="A76" s="19" t="s">
        <v>664</v>
      </c>
      <c r="B76" s="18" t="str">
        <f>VLOOKUP($A76,Questions!$A$2:$X$333,2,0)</f>
        <v>Do you support role-based access control (RBAC) for system administrators?</v>
      </c>
      <c r="C76" s="21"/>
      <c r="D76" s="320"/>
      <c r="E76" s="167" t="str">
        <f>IF($C$21='Auto Responses'!$J$4,'Auto Responses'!$A$9,IF($C76='Auto Responses'!$J$3,VLOOKUP($A76,Questions!$A$2:$X$333,17,0)&amp;"",IF($C76='Auto Responses'!$J$4,VLOOKUP($A76,Questions!$A$2:$X$333,16,0)&amp;"",VLOOKUP($A76,Questions!$A$2:$X$333,15,0)&amp;"")))</f>
        <v/>
      </c>
      <c r="F76" s="201" t="str">
        <f>VLOOKUP($A76,'Institution Evaluation'!$A$56:$F$345,6,0)&amp;""</f>
        <v/>
      </c>
      <c r="I76" s="35"/>
      <c r="J76" s="35"/>
    </row>
    <row r="77" spans="1:10" s="1" customFormat="1" ht="28.5" customHeight="1" x14ac:dyDescent="0.2">
      <c r="A77" s="19" t="s">
        <v>666</v>
      </c>
      <c r="B77" s="18" t="str">
        <f>VLOOKUP($A77,Questions!$A$2:$X$333,2,0)</f>
        <v>Can your employees access customer systems remotely?</v>
      </c>
      <c r="C77" s="21"/>
      <c r="D77" s="320"/>
      <c r="E77" s="167" t="str">
        <f>IF($C$21='Auto Responses'!$J$4,'Auto Responses'!$A$9,IF($C77='Auto Responses'!$J$3,VLOOKUP($A77,Questions!$A$2:$X$333,17,0)&amp;"",IF($C77='Auto Responses'!$J$4,VLOOKUP($A77,Questions!$A$2:$X$333,16,0)&amp;"",VLOOKUP($A77,Questions!$A$2:$X$333,15,0)&amp;"")))</f>
        <v/>
      </c>
      <c r="F77" s="201" t="str">
        <f>VLOOKUP($A77,'Institution Evaluation'!$A$56:$F$345,6,0)&amp;""</f>
        <v/>
      </c>
      <c r="I77" s="35"/>
      <c r="J77" s="35"/>
    </row>
    <row r="78" spans="1:10" s="1" customFormat="1" ht="68.25" customHeight="1" x14ac:dyDescent="0.2">
      <c r="A78" s="19" t="s">
        <v>670</v>
      </c>
      <c r="B78" s="18" t="str">
        <f>VLOOKUP($A78,Questions!$A$2:$X$333,2,0)</f>
        <v>Can you provide overall system and/or application architecture diagrams including a full description of the data communications architecture for all components of the system?</v>
      </c>
      <c r="C78" s="21"/>
      <c r="D78" s="320"/>
      <c r="E78" s="167" t="str">
        <f>IF($C$21='Auto Responses'!$J$4,'Auto Responses'!$A$9,IF($C78='Auto Responses'!$J$3,VLOOKUP($A78,Questions!$A$2:$X$333,17,0)&amp;"",IF($C78='Auto Responses'!$J$4,VLOOKUP($A78,Questions!$A$2:$X$333,16,0)&amp;"",VLOOKUP($A78,Questions!$A$2:$X$333,15,0)&amp;"")))</f>
        <v/>
      </c>
      <c r="F78" s="201" t="str">
        <f>VLOOKUP($A78,'Institution Evaluation'!$A$56:$F$345,6,0)&amp;""</f>
        <v/>
      </c>
      <c r="I78" s="35"/>
      <c r="J78" s="35"/>
    </row>
    <row r="79" spans="1:10" s="1" customFormat="1" ht="46.5" customHeight="1" x14ac:dyDescent="0.2">
      <c r="A79" s="19" t="s">
        <v>674</v>
      </c>
      <c r="B79" s="18" t="str">
        <f>VLOOKUP($A79,Questions!$A$2:$X$333,2,0)</f>
        <v>Do you require remote management of the system?</v>
      </c>
      <c r="C79" s="21"/>
      <c r="D79" s="320"/>
      <c r="E79" s="167" t="str">
        <f>IF($C$21='Auto Responses'!$J$4,'Auto Responses'!$A$9,IF($C79='Auto Responses'!$J$3,VLOOKUP($A79,Questions!$A$2:$X$333,17,0)&amp;"",IF($C79='Auto Responses'!$J$4,VLOOKUP($A79,Questions!$A$2:$X$333,16,0)&amp;"",VLOOKUP($A79,Questions!$A$2:$X$333,15,0)&amp;"")))</f>
        <v/>
      </c>
      <c r="F79" s="201" t="str">
        <f>VLOOKUP($A79,'Institution Evaluation'!$A$56:$F$345,6,0)&amp;""</f>
        <v/>
      </c>
      <c r="I79" s="35"/>
      <c r="J79" s="35"/>
    </row>
    <row r="80" spans="1:10" s="1" customFormat="1" ht="60" customHeight="1" x14ac:dyDescent="0.2">
      <c r="A80" s="19" t="s">
        <v>677</v>
      </c>
      <c r="B80" s="18" t="str">
        <f>VLOOKUP($A80,Questions!$A$2:$X$333,2,0)</f>
        <v>If you answered "yes" to OPEM-04, are your remote actions and changes logged or otherwise visible to the campus?</v>
      </c>
      <c r="C80" s="21"/>
      <c r="D80" s="320"/>
      <c r="E80" s="167" t="str">
        <f>IF($C$21='Auto Responses'!$J$4,'Auto Responses'!$A$9,IF($C80='Auto Responses'!$J$3,VLOOKUP($A80,Questions!$A$2:$X$333,17,0)&amp;"",IF($C80='Auto Responses'!$J$4,VLOOKUP($A80,Questions!$A$2:$X$333,16,0)&amp;"",IF($C80='Auto Responses'!$J$5,VLOOKUP($A80,Questions!$A$2:$X$333,18,0)&amp;"",VLOOKUP($A80,Questions!$A$2:$X$333,15,0)&amp;""))))</f>
        <v/>
      </c>
      <c r="F80" s="201" t="str">
        <f>VLOOKUP($A80,'Institution Evaluation'!$A$56:$F$345,6,0)&amp;""</f>
        <v/>
      </c>
      <c r="I80" s="35"/>
      <c r="J80" s="35"/>
    </row>
    <row r="81" spans="1:12" s="1" customFormat="1" ht="47.25" customHeight="1" x14ac:dyDescent="0.2">
      <c r="A81" s="19" t="s">
        <v>681</v>
      </c>
      <c r="B81" s="18" t="str">
        <f>VLOOKUP($A81,Questions!$A$2:$X$333,2,0)</f>
        <v>If you maintain remote access to the system, will you handle data in a FERPA-compliant manner?</v>
      </c>
      <c r="C81" s="21"/>
      <c r="D81" s="320"/>
      <c r="E81" s="167" t="str">
        <f>IF($C$21='Auto Responses'!$J$4,'Auto Responses'!$A$9,IF($C81='Auto Responses'!$J$3,VLOOKUP($A81,Questions!$A$2:$X$333,17,0)&amp;"",IF($C81='Auto Responses'!$J$4,VLOOKUP($A81,Questions!$A$2:$X$333,16,0)&amp;"",IF($C81='Auto Responses'!$J$5,VLOOKUP($A81,Questions!$A$2:$X$333,18,0)&amp;"",VLOOKUP($A81,Questions!$A$2:$X$333,15,0)&amp;""))))</f>
        <v/>
      </c>
      <c r="F81" s="201" t="str">
        <f>VLOOKUP($A81,'Institution Evaluation'!$A$56:$F$345,6,0)&amp;""</f>
        <v/>
      </c>
      <c r="I81" s="35"/>
      <c r="J81" s="35"/>
    </row>
    <row r="82" spans="1:12" s="1" customFormat="1" ht="43.5" customHeight="1" x14ac:dyDescent="0.2">
      <c r="A82" s="19" t="s">
        <v>683</v>
      </c>
      <c r="B82" s="18" t="str">
        <f>VLOOKUP($A82,Questions!$A$2:$X$333,2,0)</f>
        <v>Do you support campus status monitoring through SNMPv3 or other means?</v>
      </c>
      <c r="C82" s="21"/>
      <c r="D82" s="320"/>
      <c r="E82" s="167" t="str">
        <f>IF($C$21='Auto Responses'!$J$4,'Auto Responses'!$A$9,IF($C82='Auto Responses'!$J$3,VLOOKUP($A82,Questions!$A$2:$X$333,17,0)&amp;"",IF($C82='Auto Responses'!$J$4,VLOOKUP($A82,Questions!$A$2:$X$333,16,0)&amp;"",VLOOKUP($A82,Questions!$A$2:$X$333,15,0)&amp;"")))</f>
        <v/>
      </c>
      <c r="F82" s="201" t="str">
        <f>VLOOKUP($A82,'Institution Evaluation'!$A$56:$F$345,6,0)&amp;""</f>
        <v/>
      </c>
      <c r="I82" s="35"/>
      <c r="J82" s="35"/>
    </row>
    <row r="83" spans="1:12" s="1" customFormat="1" ht="42" customHeight="1" x14ac:dyDescent="0.2">
      <c r="A83" s="19" t="s">
        <v>686</v>
      </c>
      <c r="B83" s="18" t="str">
        <f>VLOOKUP($A83,Questions!$A$2:$X$333,2,0)</f>
        <v>Describe or provide a reference to any other safeguards used to monitor for malicious activity.</v>
      </c>
      <c r="C83" s="68"/>
      <c r="D83" s="320"/>
      <c r="E83" s="167" t="str">
        <f>IF($C$21='Auto Responses'!$J$4,'Auto Responses'!$A$9,IF($C83='Auto Responses'!$J$3,VLOOKUP($A83,Questions!$A$2:$X$333,17,0)&amp;"",IF($C83='Auto Responses'!$J$4,VLOOKUP($A83,Questions!$A$2:$X$333,16,0)&amp;"",VLOOKUP($A83,Questions!$A$2:$X$333,15,0)&amp;"")))</f>
        <v>Please detail your monitoring strategy</v>
      </c>
      <c r="F83" s="201" t="str">
        <f>VLOOKUP($A83,'Institution Evaluation'!$A$56:$F$345,6,0)&amp;""</f>
        <v/>
      </c>
      <c r="I83" s="35"/>
      <c r="J83" s="35"/>
    </row>
    <row r="84" spans="1:12" s="1" customFormat="1" ht="54" customHeight="1" x14ac:dyDescent="0.2">
      <c r="A84" s="19" t="s">
        <v>687</v>
      </c>
      <c r="B84" s="18" t="str">
        <f>VLOOKUP($A84,Questions!$A$2:$X$333,2,0)</f>
        <v>Describe how long your organization has conducted business in this area.</v>
      </c>
      <c r="C84" s="68"/>
      <c r="D84" s="320"/>
      <c r="E84" s="167" t="str">
        <f>IF($C$21='Auto Responses'!$J$4,'Auto Responses'!$A$9,IF($C84='Auto Responses'!$J$3,VLOOKUP($A84,Questions!$A$2:$X$333,17,0)&amp;"",IF($C84='Auto Responses'!$J$4,VLOOKUP($A84,Questions!$A$2:$X$333,16,0)&amp;"",VLOOKUP($A84,Questions!$A$2:$X$333,15,0)&amp;"")))</f>
        <v>Include the number of years and in what capacity.</v>
      </c>
      <c r="F84" s="201" t="str">
        <f>VLOOKUP($A84,'Institution Evaluation'!$A$56:$F$345,6,0)&amp;""</f>
        <v/>
      </c>
      <c r="I84" s="35"/>
      <c r="J84" s="35"/>
    </row>
    <row r="85" spans="1:12" s="1" customFormat="1" ht="39.75" customHeight="1" x14ac:dyDescent="0.2">
      <c r="A85" s="19" t="s">
        <v>692</v>
      </c>
      <c r="B85" s="18" t="str">
        <f>VLOOKUP($A85,Questions!$A$2:$X$333,2,0)</f>
        <v>Do you have existing higher education customers?</v>
      </c>
      <c r="C85" s="21"/>
      <c r="D85" s="320"/>
      <c r="E85" s="167" t="str">
        <f>IF($C$21='Auto Responses'!$J$4,'Auto Responses'!$A$9,IF($C85='Auto Responses'!$J$3,VLOOKUP($A85,Questions!$A$2:$X$333,17,0)&amp;"",IF($C85='Auto Responses'!$J$4,VLOOKUP($A85,Questions!$A$2:$X$333,16,0)&amp;"",VLOOKUP($A85,Questions!$A$2:$X$333,15,0)&amp;"")))</f>
        <v/>
      </c>
      <c r="F85" s="201" t="str">
        <f>VLOOKUP($A85,'Institution Evaluation'!$A$56:$F$345,6,0)&amp;""</f>
        <v/>
      </c>
      <c r="G85" s="238" t="s">
        <v>1449</v>
      </c>
      <c r="I85" s="35"/>
      <c r="J85" s="35"/>
    </row>
    <row r="86" spans="1:12" s="1" customFormat="1" ht="36.75" customHeight="1" x14ac:dyDescent="0.2">
      <c r="A86" s="267" t="s">
        <v>1507</v>
      </c>
      <c r="C86" s="8"/>
      <c r="D86" s="9"/>
      <c r="E86" s="10"/>
      <c r="I86" s="35"/>
      <c r="J86" s="35"/>
    </row>
    <row r="87" spans="1:12" ht="15" hidden="1" customHeight="1" x14ac:dyDescent="0.2">
      <c r="A87" s="1"/>
      <c r="B87" s="8"/>
      <c r="C87" s="71"/>
      <c r="D87" s="10"/>
      <c r="E87" s="1"/>
      <c r="H87" s="35"/>
      <c r="I87" s="1"/>
      <c r="J87" s="1"/>
      <c r="L87"/>
    </row>
    <row r="88" spans="1:12" ht="0" hidden="1" customHeight="1" x14ac:dyDescent="0.2">
      <c r="A88" s="19" t="e">
        <f>#REF!</f>
        <v>#REF!</v>
      </c>
    </row>
    <row r="89" spans="1:12" ht="0" hidden="1" customHeight="1" x14ac:dyDescent="0.2">
      <c r="A89" s="19" t="e">
        <f>#REF!</f>
        <v>#REF!</v>
      </c>
    </row>
    <row r="90" spans="1:12" ht="0" hidden="1" customHeight="1" x14ac:dyDescent="0.2">
      <c r="A90" s="19" t="e">
        <f>#REF!</f>
        <v>#REF!</v>
      </c>
    </row>
    <row r="91" spans="1:12" ht="0" hidden="1" customHeight="1" x14ac:dyDescent="0.2">
      <c r="A91" s="19" t="e">
        <f>#REF!</f>
        <v>#REF!</v>
      </c>
    </row>
    <row r="92" spans="1:12" ht="0" hidden="1" customHeight="1" x14ac:dyDescent="0.2">
      <c r="A92" s="19" t="e">
        <f>#REF!</f>
        <v>#REF!</v>
      </c>
    </row>
    <row r="93" spans="1:12" ht="0" hidden="1" customHeight="1" x14ac:dyDescent="0.2">
      <c r="A93" s="19" t="e">
        <f>#REF!</f>
        <v>#REF!</v>
      </c>
    </row>
    <row r="94" spans="1:12" ht="0" hidden="1" customHeight="1" x14ac:dyDescent="0.2">
      <c r="A94" s="19"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D71:D72"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C73 C85 C27:C31 C33:C54 C56:C61 C76:C79 C23:C24 C63:C70 C82</xm:sqref>
        </x14:dataValidation>
        <x14:dataValidation type="list" allowBlank="1" showInputMessage="1" showErrorMessage="1" xr:uid="{EF1A7EE7-C7A2-403F-A736-199B3CEF11D0}">
          <x14:formula1>
            <xm:f>'Auto Responses'!$J$3:$J$5</xm:f>
          </x14:formula1>
          <xm:sqref>C25:C26 C80:C81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98" customWidth="1"/>
    <col min="7" max="7" width="18.09765625" style="1" customWidth="1"/>
    <col min="8" max="8" width="18.09765625" style="1" hidden="1" customWidth="1"/>
    <col min="9" max="10" width="18.09765625" style="35" hidden="1" customWidth="1"/>
    <col min="11" max="11" width="4.5" style="1" hidden="1" customWidth="1"/>
    <col min="12" max="12" width="6.59765625" style="1" hidden="1" customWidth="1"/>
    <col min="13" max="16384" width="6.59765625" hidden="1"/>
  </cols>
  <sheetData>
    <row r="1" spans="1:10" ht="0" hidden="1" customHeight="1" x14ac:dyDescent="0.2">
      <c r="A1" t="s">
        <v>1448</v>
      </c>
    </row>
    <row r="2" spans="1:10" ht="36" customHeight="1" x14ac:dyDescent="0.2">
      <c r="A2" s="168" t="s">
        <v>1380</v>
      </c>
      <c r="B2" s="168"/>
      <c r="C2" s="169"/>
      <c r="D2" s="308"/>
      <c r="E2" s="170"/>
      <c r="F2" s="197" t="str">
        <f>'Auto Responses'!$A$36</f>
        <v>Version 4.1.5</v>
      </c>
      <c r="J2" s="1"/>
    </row>
    <row r="3" spans="1:10" s="1" customFormat="1" ht="29.1" customHeight="1" x14ac:dyDescent="0.2">
      <c r="A3" s="37" t="s">
        <v>940</v>
      </c>
      <c r="B3" s="38"/>
      <c r="C3" s="66">
        <f>'START HERE'!$C$3</f>
        <v>0</v>
      </c>
      <c r="D3" s="309"/>
      <c r="E3" s="36"/>
      <c r="F3" s="50"/>
      <c r="I3" s="35"/>
    </row>
    <row r="4" spans="1:10" s="1" customFormat="1" ht="36" customHeight="1" x14ac:dyDescent="0.2">
      <c r="A4" s="11" t="s">
        <v>865</v>
      </c>
      <c r="B4" s="12"/>
      <c r="C4" s="13"/>
      <c r="D4" s="14"/>
      <c r="E4" s="15"/>
      <c r="F4" s="15"/>
      <c r="I4" s="35"/>
    </row>
    <row r="5" spans="1:10" s="1" customFormat="1" ht="19.5" customHeight="1" x14ac:dyDescent="0.2">
      <c r="A5" s="42" t="str">
        <f>HLOOKUP($A$4,'Auto Responses'!$D$2:$D$8,2,0)&amp;""</f>
        <v>1. Complete the "Start Here" tab and review the "Required Questions" guidance to find the other sections are required for your product or service.</v>
      </c>
      <c r="B5" s="16"/>
      <c r="C5" s="67"/>
      <c r="D5" s="310"/>
      <c r="E5" s="16"/>
      <c r="F5" s="261"/>
      <c r="I5" s="35"/>
    </row>
    <row r="6" spans="1:10" s="1" customFormat="1" ht="19.5" customHeight="1" x14ac:dyDescent="0.2">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0" s="1" customFormat="1" ht="19.5" customHeight="1" x14ac:dyDescent="0.2">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0" s="1" customFormat="1" ht="19.5" customHeight="1" x14ac:dyDescent="0.2">
      <c r="A8" s="42" t="str">
        <f>HLOOKUP($A$4,'Auto Responses'!$D$2:$D$8,5,0)&amp;""</f>
        <v>4. DO NOT complete any fields in the "Evaluation" sheets or the "Analyst Notes" column.</v>
      </c>
      <c r="B8" s="16"/>
      <c r="C8" s="67"/>
      <c r="D8" s="310"/>
      <c r="E8" s="16"/>
      <c r="F8" s="262"/>
      <c r="I8" s="35"/>
    </row>
    <row r="9" spans="1:10" s="1" customFormat="1" ht="19.5" customHeight="1" x14ac:dyDescent="0.2">
      <c r="A9" s="42" t="str">
        <f>HLOOKUP($A$4,'Auto Responses'!$D$2:$D$8,6,0)&amp;""</f>
        <v>5. Return the completed file to institutions.</v>
      </c>
      <c r="B9" s="16"/>
      <c r="C9" s="67"/>
      <c r="D9" s="310"/>
      <c r="E9" s="16"/>
      <c r="F9" s="262"/>
      <c r="I9" s="35"/>
    </row>
    <row r="10" spans="1:10" s="1" customFormat="1" ht="19.5" customHeight="1" x14ac:dyDescent="0.2">
      <c r="A10" s="247" t="str">
        <f>HLOOKUP($A$4,'Auto Responses'!$D$2:$D$8,7,0)&amp;""</f>
        <v>* Denotes critical questions. Critical questions are those deemed most important to institutions by higher education volunteers.</v>
      </c>
      <c r="B10" s="16"/>
      <c r="C10" s="67"/>
      <c r="D10" s="310"/>
      <c r="E10" s="16"/>
      <c r="F10" s="262"/>
      <c r="I10" s="35"/>
    </row>
    <row r="11" spans="1:10" s="1" customFormat="1" ht="19.5" customHeight="1" x14ac:dyDescent="0.2">
      <c r="A11" s="246" t="str">
        <f>HLOOKUP($A$4,'Auto Responses'!$D$2:$D$9,8,0)&amp;""</f>
        <v>For full instructions, please visit educause.edu/HECVAT</v>
      </c>
      <c r="B11" s="16"/>
      <c r="C11" s="67"/>
      <c r="D11" s="310"/>
      <c r="E11" s="16"/>
      <c r="F11" s="263"/>
      <c r="I11" s="35"/>
    </row>
    <row r="12" spans="1:10" s="1" customFormat="1" ht="36" customHeight="1" x14ac:dyDescent="0.2">
      <c r="A12" s="63" t="str">
        <f>VLOOKUP(LEFT($A13,4),'Auto Responses'!$N$4:$O$38,2,0)&amp;""</f>
        <v xml:space="preserve"> General Information</v>
      </c>
      <c r="B12" s="12"/>
      <c r="C12" s="13" t="s">
        <v>1497</v>
      </c>
      <c r="D12" s="311"/>
      <c r="E12" s="17"/>
      <c r="F12" s="17"/>
      <c r="I12" s="35"/>
      <c r="J12" s="35"/>
    </row>
    <row r="13" spans="1:10" s="1" customFormat="1" ht="22.35" customHeight="1" x14ac:dyDescent="0.2">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
      <c r="A14" s="19" t="s">
        <v>24</v>
      </c>
      <c r="B14" s="20" t="str">
        <f>VLOOKUP($A14,Questions!$A$2:$X$333,2,0)&amp;""</f>
        <v>Solution Name</v>
      </c>
      <c r="C14" s="76" t="str">
        <f>VLOOKUP($A14,'START HERE'!$A$13:$C$21,3,0)&amp;""</f>
        <v/>
      </c>
      <c r="D14" s="32"/>
      <c r="E14" s="32"/>
      <c r="F14" s="50"/>
      <c r="I14" s="35"/>
      <c r="J14" s="35"/>
    </row>
    <row r="15" spans="1:10" s="1" customFormat="1" ht="22.35" customHeight="1" x14ac:dyDescent="0.2">
      <c r="A15" s="19" t="s">
        <v>25</v>
      </c>
      <c r="B15" s="20" t="str">
        <f>VLOOKUP($A15,Questions!$A$2:$X$333,2,0)&amp;""</f>
        <v>Solution Description</v>
      </c>
      <c r="C15" s="76" t="str">
        <f>VLOOKUP($A15,'START HERE'!$A$13:$C$21,3,0)&amp;""</f>
        <v/>
      </c>
      <c r="D15" s="32"/>
      <c r="E15" s="32"/>
      <c r="F15" s="50"/>
      <c r="I15" s="35"/>
      <c r="J15" s="35"/>
    </row>
    <row r="16" spans="1:10" s="1" customFormat="1" ht="22.35" customHeight="1" thickBot="1" x14ac:dyDescent="0.25">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25">
      <c r="A17" s="63" t="str">
        <f>VLOOKUP(LEFT($A18,4),'Auto Responses'!$N$4:$O$38,2,0)&amp;""</f>
        <v xml:space="preserve"> Required Questions</v>
      </c>
      <c r="B17" s="22"/>
      <c r="C17" s="13" t="s">
        <v>1497</v>
      </c>
      <c r="D17" s="13" t="s">
        <v>72</v>
      </c>
      <c r="E17" s="31" t="s">
        <v>848</v>
      </c>
      <c r="F17" s="202" t="s">
        <v>849</v>
      </c>
      <c r="I17" s="35"/>
      <c r="J17" s="35"/>
    </row>
    <row r="18" spans="1:10" s="1" customFormat="1" ht="38.25" customHeight="1" thickBot="1" x14ac:dyDescent="0.25">
      <c r="A18" s="19" t="s">
        <v>58</v>
      </c>
      <c r="B18" s="18" t="str">
        <f>VLOOKUP($A18,Questions!$A$2:$X$333,2,0)</f>
        <v>Does your solution have AI features, or are there plans to implement AI features in the next 12 months?</v>
      </c>
      <c r="C18" s="72" t="str">
        <f>VLOOKUP($A18,'START HERE'!$A$23:$F$36,3,0)&amp;""</f>
        <v/>
      </c>
      <c r="D18" s="312" t="str">
        <f>VLOOKUP($A18,'START HERE'!$A$23:$F$36,4,0)&amp;""</f>
        <v/>
      </c>
      <c r="E18" s="167" t="str">
        <f>IF($C18='Auto Responses'!$J$3,VLOOKUP($A18,Questions!$A$2:$X$333,17,0)&amp;"",IF($C18='Auto Responses'!$J$4,VLOOKUP($A18,Questions!$A$2:$X$333,16,0)&amp;"",VLOOKUP($A18,Questions!$A$2:$X$333,15,0)&amp;""))</f>
        <v/>
      </c>
      <c r="F18" s="201" t="str">
        <f>VLOOKUP($A18,'Institution Evaluation'!$A$56:$F$345,6,0)&amp;""</f>
        <v/>
      </c>
      <c r="G18" s="238" t="s">
        <v>1449</v>
      </c>
      <c r="I18" s="35"/>
      <c r="J18" s="35"/>
    </row>
    <row r="19" spans="1:10" s="1" customFormat="1" ht="37.35" customHeight="1" thickBot="1" x14ac:dyDescent="0.25">
      <c r="A19" s="63" t="str">
        <f>VLOOKUP(LEFT($A20,4),'Auto Responses'!$N$4:$O$38,2,0)&amp;""</f>
        <v xml:space="preserve"> AI Qualifying Questions</v>
      </c>
      <c r="B19" s="22"/>
      <c r="C19" s="13" t="s">
        <v>1497</v>
      </c>
      <c r="D19" s="13" t="s">
        <v>72</v>
      </c>
      <c r="E19" s="31" t="s">
        <v>848</v>
      </c>
      <c r="F19" s="202" t="s">
        <v>849</v>
      </c>
      <c r="I19" s="35"/>
      <c r="J19" s="35"/>
    </row>
    <row r="20" spans="1:10" s="1" customFormat="1" ht="84.75" customHeight="1" x14ac:dyDescent="0.2">
      <c r="A20" s="19" t="s">
        <v>782</v>
      </c>
      <c r="B20" s="18" t="str">
        <f>VLOOKUP($A20,Questions!$A$2:$X$333,2,0)</f>
        <v>Does your solution leverage machine learning (ML) or do you plan to do so in the next 12 months?</v>
      </c>
      <c r="C20" s="21"/>
      <c r="D20" s="313"/>
      <c r="E20" s="167" t="str">
        <f>IF($C$18='Auto Responses'!$J$4,'Auto Responses'!$A$6,IF($C20='Auto Responses'!$J$3,VLOOKUP($A20,Questions!$A$2:$X$333,17,0)&amp;"",IF($C20='Auto Responses'!$J$4,VLOOKUP($A20,Questions!$A$2:$X$333,16,0)&amp;"",VLOOKUP($A20,Questions!$A$2:$X$333,15,0)&amp;"")))</f>
        <v>Answer "yes" even if you do not create your own machine learning solutions, and answer the questions as they apply to your contractual relationship with the third party you utilize.</v>
      </c>
      <c r="F20" s="201" t="str">
        <f>VLOOKUP($A20,'Institution Evaluation'!$A$56:$F$345,6,0)&amp;""</f>
        <v/>
      </c>
      <c r="I20" s="35"/>
      <c r="J20" s="35"/>
    </row>
    <row r="21" spans="1:10" s="1" customFormat="1" ht="78.75" customHeight="1" thickBot="1" x14ac:dyDescent="0.25">
      <c r="A21" s="19" t="s">
        <v>783</v>
      </c>
      <c r="B21" s="18" t="str">
        <f>VLOOKUP($A21,Questions!$A$2:$X$333,2,0)</f>
        <v>Does your solution leverage a large language model (LLM) or do you plan to do so in the next 12 months?</v>
      </c>
      <c r="C21" s="21"/>
      <c r="D21" s="313"/>
      <c r="E21" s="167" t="str">
        <f>IF($C$18='Auto Responses'!$J$4,'Auto Responses'!$A$6,IF($C21='Auto Responses'!$J$3,VLOOKUP($A21,Questions!$A$2:$X$333,17,0)&amp;"",IF($C21='Auto Responses'!$J$4,VLOOKUP($A21,Questions!$A$2:$X$333,16,0)&amp;"",VLOOKUP($A21,Questions!$A$2:$X$333,15,0)&amp;"")))</f>
        <v>Answer "yes" even if you do not train your own LLM models, and answer the questions as they apply to your contractual relationship with the third party you utilize.</v>
      </c>
      <c r="F21" s="201" t="str">
        <f>VLOOKUP($A21,'Institution Evaluation'!$A$56:$F$345,6,0)&amp;""</f>
        <v/>
      </c>
      <c r="G21" s="238" t="s">
        <v>1449</v>
      </c>
      <c r="I21" s="35"/>
      <c r="J21" s="35"/>
    </row>
    <row r="22" spans="1:10" s="1" customFormat="1" ht="37.35" customHeight="1" thickBot="1" x14ac:dyDescent="0.25">
      <c r="A22" s="63" t="str">
        <f>VLOOKUP(LEFT($A23,4),'Auto Responses'!$N$4:$O$38,2,0)&amp;""</f>
        <v xml:space="preserve"> General AI Questions</v>
      </c>
      <c r="B22" s="22"/>
      <c r="C22" s="13" t="s">
        <v>1497</v>
      </c>
      <c r="D22" s="13" t="s">
        <v>72</v>
      </c>
      <c r="E22" s="31" t="s">
        <v>848</v>
      </c>
      <c r="F22" s="202" t="s">
        <v>849</v>
      </c>
      <c r="I22" s="35"/>
      <c r="J22" s="35"/>
    </row>
    <row r="23" spans="1:10" s="1" customFormat="1" ht="48" customHeight="1" x14ac:dyDescent="0.2">
      <c r="A23" s="19" t="s">
        <v>784</v>
      </c>
      <c r="B23" s="18" t="str">
        <f>VLOOKUP($A23,Questions!$A$2:$X$333,2,0)</f>
        <v>Does your solution have an AI risk model when developing or implementing your solution's AI model?*</v>
      </c>
      <c r="C23" s="21"/>
      <c r="D23" s="313"/>
      <c r="E23" s="167" t="str">
        <f>IF($C$18='Auto Responses'!$J$4,'Auto Responses'!$A$6,IF($C23='Auto Responses'!$J$3,VLOOKUP($A23,Questions!$A$2:$X$333,17,0)&amp;"",IF($C23='Auto Responses'!$J$4,VLOOKUP($A23,Questions!$A$2:$X$333,16,0)&amp;"",VLOOKUP($A23,Questions!$A$2:$X$333,15,0)&amp;"")))</f>
        <v>Examples include NIST AI RMF, OWASP Top 10, RAFT, and MITRE ATLAS.</v>
      </c>
      <c r="F23" s="201" t="str">
        <f>VLOOKUP($A23,'Institution Evaluation'!$A$56:$F$345,6,0)&amp;""</f>
        <v/>
      </c>
      <c r="I23" s="35"/>
      <c r="J23" s="35"/>
    </row>
    <row r="24" spans="1:10" s="1" customFormat="1" ht="38.25" customHeight="1" x14ac:dyDescent="0.2">
      <c r="A24" s="19" t="s">
        <v>785</v>
      </c>
      <c r="B24" s="18" t="str">
        <f>VLOOKUP($A24,Questions!$A$2:$X$333,2,0)</f>
        <v>Can your solution's AI features be disabled by tenant and/or user?*</v>
      </c>
      <c r="C24" s="21"/>
      <c r="D24" s="313"/>
      <c r="E24" s="167" t="str">
        <f>IF($C$18='Auto Responses'!$J$4,'Auto Responses'!$A$6,IF($C24='Auto Responses'!$J$3,VLOOKUP($A24,Questions!$A$2:$X$333,17,0)&amp;"",IF($C24='Auto Responses'!$J$4,VLOOKUP($A24,Questions!$A$2:$X$333,16,0)&amp;"",IF($C24='Auto Responses'!$J$5,VLOOKUP($A24,Questions!$A$2:$X$333,18,0)&amp;"",VLOOKUP($A24,Questions!$A$2:$X$333,15,0)&amp;""))))</f>
        <v/>
      </c>
      <c r="F24" s="201" t="str">
        <f>VLOOKUP($A24,'Institution Evaluation'!$A$56:$F$345,6,0)&amp;""</f>
        <v/>
      </c>
      <c r="I24" s="35"/>
      <c r="J24" s="35"/>
    </row>
    <row r="25" spans="1:10" s="1" customFormat="1" ht="46.5" customHeight="1" x14ac:dyDescent="0.2">
      <c r="A25" s="19" t="s">
        <v>786</v>
      </c>
      <c r="B25" s="18" t="str">
        <f>VLOOKUP($A25,Questions!$A$2:$X$333,2,0)</f>
        <v>Have your staff completed responsible AI training?*</v>
      </c>
      <c r="C25" s="21"/>
      <c r="D25" s="313"/>
      <c r="E25" s="167" t="str">
        <f>IF($C$18='Auto Responses'!$J$4,'Auto Responses'!$A$6,IF($C25='Auto Responses'!$J$3,VLOOKUP($A25,Questions!$A$2:$X$333,17,0)&amp;"",IF($C25='Auto Responses'!$J$4,VLOOKUP($A25,Questions!$A$2:$X$333,16,0)&amp;"",VLOOKUP($A25,Questions!$A$2:$X$333,15,0)&amp;"")))</f>
        <v/>
      </c>
      <c r="F25" s="201" t="str">
        <f>VLOOKUP($A25,'Institution Evaluation'!$A$56:$F$345,6,0)&amp;""</f>
        <v/>
      </c>
      <c r="I25" s="35"/>
      <c r="J25" s="35"/>
    </row>
    <row r="26" spans="1:10" s="1" customFormat="1" ht="99.75" x14ac:dyDescent="0.2">
      <c r="A26" s="19" t="s">
        <v>787</v>
      </c>
      <c r="B26" s="18" t="str">
        <f>VLOOKUP($A26,Questions!$A$2:$X$333,2,0)</f>
        <v>Please describe the capabilities of your solution's AI features.</v>
      </c>
      <c r="C26" s="77"/>
      <c r="D26" s="313"/>
      <c r="E26" s="167" t="str">
        <f>IF($C$18='Auto Responses'!$J$4,'Auto Responses'!$A$6,IF($C26='Auto Responses'!$J$3,VLOOKUP($A26,Questions!$A$2:$X$333,17,0)&amp;"",IF($C26='Auto Responses'!$J$4,VLOOKUP($A26,Questions!$A$2:$X$333,16,0)&amp;"",VLOOKUP($A26,Questions!$A$2:$X$333,15,0)&amp;"")))</f>
        <v>Describe capabilities such as content (text, image, audio, speech, video, or code) generation, visual interpretation, and predictive analytics. This encompasses all AI implementations, including third-party AI features. Clarify use cases or limits of the model.</v>
      </c>
      <c r="F26" s="201" t="str">
        <f>VLOOKUP($A26,'Institution Evaluation'!$A$56:$F$345,6,0)&amp;""</f>
        <v/>
      </c>
      <c r="I26" s="35"/>
      <c r="J26" s="35"/>
    </row>
    <row r="27" spans="1:10" s="1" customFormat="1" ht="74.25" customHeight="1" thickBot="1" x14ac:dyDescent="0.25">
      <c r="A27" s="19" t="s">
        <v>788</v>
      </c>
      <c r="B27" s="18" t="str">
        <f>VLOOKUP($A27,Questions!$A$2:$X$333,2,0)</f>
        <v>Does your solution support business rules to protect sensitive data from being ingested by the AI model?</v>
      </c>
      <c r="C27" s="21"/>
      <c r="D27" s="313"/>
      <c r="E27" s="167" t="str">
        <f>IF($C$18='Auto Responses'!$J$4,'Auto Responses'!$A$6,IF($C27='Auto Responses'!$J$3,VLOOKUP($A27,Questions!$A$2:$X$333,17,0)&amp;"",IF($C27='Auto Responses'!$J$4,VLOOKUP($A27,Questions!$A$2:$X$333,16,0)&amp;"",VLOOKUP($A27,Questions!$A$2:$X$333,15,0)&amp;"")))</f>
        <v/>
      </c>
      <c r="F27" s="201" t="str">
        <f>VLOOKUP($A27,'Institution Evaluation'!$A$56:$F$345,6,0)&amp;""</f>
        <v/>
      </c>
      <c r="G27" s="238" t="s">
        <v>1449</v>
      </c>
      <c r="I27" s="35"/>
      <c r="J27" s="35"/>
    </row>
    <row r="28" spans="1:10" s="1" customFormat="1" ht="37.35" customHeight="1" thickBot="1" x14ac:dyDescent="0.25">
      <c r="A28" s="63" t="str">
        <f>VLOOKUP(LEFT($A29,4),'Auto Responses'!$N$4:$O$38,2,0)&amp;""</f>
        <v xml:space="preserve"> AI Policy</v>
      </c>
      <c r="B28" s="22"/>
      <c r="C28" s="13" t="s">
        <v>1497</v>
      </c>
      <c r="D28" s="13" t="s">
        <v>72</v>
      </c>
      <c r="E28" s="31" t="s">
        <v>848</v>
      </c>
      <c r="F28" s="202" t="s">
        <v>849</v>
      </c>
      <c r="I28" s="35"/>
      <c r="J28" s="35"/>
    </row>
    <row r="29" spans="1:10" s="1" customFormat="1" ht="69" customHeight="1" x14ac:dyDescent="0.2">
      <c r="A29" s="19" t="s">
        <v>789</v>
      </c>
      <c r="B29" s="18" t="str">
        <f>VLOOKUP($A29,Questions!$A$2:$X$333,2,0)</f>
        <v>Are your AI developer's policies, processes, procedures, and practices across the organization related to the mapping, measuring, and managing of AI risks conspicuously posted, unambiguous, and implemented effectively?*</v>
      </c>
      <c r="C29" s="21"/>
      <c r="D29" s="313"/>
      <c r="E29" s="167" t="str">
        <f>IF($C$18='Auto Responses'!$J$4,'Auto Responses'!$A$6,IF($C29='Auto Responses'!$J$3,VLOOKUP($A29,Questions!$A$2:$X$333,17,0)&amp;"",IF($C29='Auto Responses'!$J$4,VLOOKUP($A29,Questions!$A$2:$X$333,16,0)&amp;"",VLOOKUP($A29,Questions!$A$2:$X$333,15,0)&amp;"")))</f>
        <v/>
      </c>
      <c r="F29" s="201" t="str">
        <f>VLOOKUP($A29,'Institution Evaluation'!$A$56:$F$345,6,0)&amp;""</f>
        <v/>
      </c>
      <c r="I29" s="35"/>
      <c r="J29" s="35"/>
    </row>
    <row r="30" spans="1:10" s="1" customFormat="1" ht="61.5" customHeight="1" x14ac:dyDescent="0.2">
      <c r="A30" s="19" t="s">
        <v>790</v>
      </c>
      <c r="B30" s="18" t="str">
        <f>VLOOKUP($A30,Questions!$A$2:$X$333,2,0)</f>
        <v>Have you identified and measured AI risks?*</v>
      </c>
      <c r="C30" s="21"/>
      <c r="D30" s="313"/>
      <c r="E30" s="167" t="str">
        <f>IF($C$18='Auto Responses'!$J$4,'Auto Responses'!$A$6,IF($C30='Auto Responses'!$J$3,VLOOKUP($A30,Questions!$A$2:$X$333,17,0)&amp;"",IF($C30='Auto Responses'!$J$4,VLOOKUP($A30,Questions!$A$2:$X$333,16,0)&amp;"",VLOOKUP($A30,Questions!$A$2:$X$333,15,0)&amp;"")))</f>
        <v/>
      </c>
      <c r="F30" s="201" t="str">
        <f>VLOOKUP($A30,'Institution Evaluation'!$A$56:$F$345,6,0)&amp;""</f>
        <v/>
      </c>
      <c r="I30" s="35"/>
      <c r="J30" s="35"/>
    </row>
    <row r="31" spans="1:10" s="1" customFormat="1" ht="111" customHeight="1" x14ac:dyDescent="0.2">
      <c r="A31" s="19" t="s">
        <v>791</v>
      </c>
      <c r="B31" s="18" t="str">
        <f>VLOOKUP($A31,Questions!$A$2:$X$333,2,0)</f>
        <v>In the event of an incident, can your solution's AI features be disabled in a timely manner?*</v>
      </c>
      <c r="C31" s="21"/>
      <c r="D31" s="313"/>
      <c r="E31" s="167" t="str">
        <f>IF($C$18='Auto Responses'!$J$4,'Auto Responses'!$A$6,IF($C31='Auto Responses'!$J$3,VLOOKUP($A31,Questions!$A$2:$X$333,17,0)&amp;"",IF($C31='Auto Responses'!$J$4,VLOOKUP($A31,Questions!$A$2:$X$333,16,0)&amp;"",VLOOKUP($A31,Questions!$A$2:$X$333,15,0)&amp;"")))</f>
        <v/>
      </c>
      <c r="F31" s="201" t="str">
        <f>VLOOKUP($A31,'Institution Evaluation'!$A$56:$F$345,6,0)&amp;""</f>
        <v/>
      </c>
      <c r="I31" s="35"/>
      <c r="J31" s="35"/>
    </row>
    <row r="32" spans="1:10" s="1" customFormat="1" ht="99.75" customHeight="1" x14ac:dyDescent="0.2">
      <c r="A32" s="19" t="s">
        <v>792</v>
      </c>
      <c r="B32" s="18" t="str">
        <f>VLOOKUP($A32,Questions!$A$2:$X$333,2,0)</f>
        <v>If disabled because of an incident, can your solution's AI features be re-enabled in a timely manner?*</v>
      </c>
      <c r="C32" s="21"/>
      <c r="D32" s="313"/>
      <c r="E32" s="167" t="str">
        <f>IF($C$18='Auto Responses'!$J$4,'Auto Responses'!$A$6,IF($C$31='Auto Responses'!$J$4,'Auto Responses'!$A$27,IF($C32='Auto Responses'!$J$3,VLOOKUP($A32,Questions!$A$2:$X$333,17,0)&amp;"",IF($C32='Auto Responses'!$J$4,VLOOKUP($A32,Questions!$A$2:$X$333,16,0)&amp;"",IF($C32='Auto Responses'!$J$5,VLOOKUP($A32,Questions!$A$2:$X$333,18,0)&amp;"",VLOOKUP($A32,Questions!$A$2:$X$333,15,0)&amp;"")))))</f>
        <v/>
      </c>
      <c r="F32" s="201" t="str">
        <f>VLOOKUP($A32,'Institution Evaluation'!$A$56:$F$345,6,0)&amp;""</f>
        <v/>
      </c>
      <c r="I32" s="35"/>
      <c r="J32" s="35"/>
    </row>
    <row r="33" spans="1:10" s="1" customFormat="1" ht="105" customHeight="1" thickBot="1" x14ac:dyDescent="0.25">
      <c r="A33" s="19" t="s">
        <v>793</v>
      </c>
      <c r="B33" s="18" t="str">
        <f>VLOOKUP($A33,Questions!$A$2:$X$333,2,0)</f>
        <v>Do you have documented technical and procedural processes to address potential negative impacts of AI as described by the AI Risk Management Framework (RMF)?</v>
      </c>
      <c r="C33" s="21"/>
      <c r="D33" s="313"/>
      <c r="E33" s="167" t="str">
        <f>IF($C$18='Auto Responses'!$J$4,'Auto Responses'!$A$6,IF($C33='Auto Responses'!$J$3,VLOOKUP($A33,Questions!$A$2:$X$333,17,0)&amp;"",IF($C33='Auto Responses'!$J$4,VLOOKUP($A33,Questions!$A$2:$X$333,16,0)&amp;"",VLOOKUP($A33,Questions!$A$2:$X$333,15,0)&amp;"")))</f>
        <v>Responsible AI development per NIST AI RMF, page 25.</v>
      </c>
      <c r="F33" s="201" t="str">
        <f>VLOOKUP($A33,'Institution Evaluation'!$A$56:$F$345,6,0)&amp;""</f>
        <v/>
      </c>
      <c r="G33" s="238" t="s">
        <v>1449</v>
      </c>
      <c r="I33" s="35"/>
      <c r="J33" s="35"/>
    </row>
    <row r="34" spans="1:10" s="1" customFormat="1" ht="37.35" customHeight="1" thickBot="1" x14ac:dyDescent="0.25">
      <c r="A34" s="63" t="str">
        <f>VLOOKUP(LEFT($A35,4),'Auto Responses'!$N$4:$O$38,2,0)&amp;""</f>
        <v xml:space="preserve"> AI Data Security</v>
      </c>
      <c r="B34" s="22"/>
      <c r="C34" s="13" t="s">
        <v>1497</v>
      </c>
      <c r="D34" s="13" t="s">
        <v>72</v>
      </c>
      <c r="E34" s="31" t="s">
        <v>848</v>
      </c>
      <c r="F34" s="202" t="s">
        <v>849</v>
      </c>
      <c r="I34" s="35"/>
      <c r="J34" s="35"/>
    </row>
    <row r="35" spans="1:10" s="1" customFormat="1" ht="157.5" customHeight="1" x14ac:dyDescent="0.2">
      <c r="A35" s="19" t="s">
        <v>794</v>
      </c>
      <c r="B35" s="18" t="str">
        <f>VLOOKUP($A35,Questions!$A$2:$X$333,2,0)</f>
        <v>If sensitive data is introduced to your solution's AI model, can the data be removed from the AI model by request?*</v>
      </c>
      <c r="C35" s="21"/>
      <c r="D35" s="313"/>
      <c r="E35" s="167" t="str">
        <f>IF($C$18='Auto Responses'!$J$4,'Auto Responses'!$A$6,IF($C$31='Auto Responses'!$J$4,'Auto Responses'!$A$27,IF($C35='Auto Responses'!$J$3,VLOOKUP($A35,Questions!$A$2:$X$333,17,0)&amp;"",IF($C35='Auto Responses'!$J$4,VLOOKUP($A35,Questions!$A$2:$X$333,16,0)&amp;"",IF($C35='Auto Responses'!$J$5,VLOOKUP($A35,Questions!$A$2:$X$333,18,0)&amp;"",VLOOKUP($A35,Questions!$A$2:$X$333,15,0)&amp;"")))))</f>
        <v>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v>
      </c>
      <c r="F35" s="201" t="str">
        <f>VLOOKUP($A35,'Institution Evaluation'!$A$56:$F$345,6,0)&amp;""</f>
        <v/>
      </c>
      <c r="I35" s="35"/>
      <c r="J35" s="35"/>
    </row>
    <row r="36" spans="1:10" s="1" customFormat="1" ht="119.25" customHeight="1" x14ac:dyDescent="0.2">
      <c r="A36" s="19" t="s">
        <v>795</v>
      </c>
      <c r="B36" s="18" t="str">
        <f>VLOOKUP($A36,Questions!$A$2:$X$333,2,0)</f>
        <v>Is user input data used to influence your solution's AI model?*</v>
      </c>
      <c r="C36" s="21"/>
      <c r="D36" s="313"/>
      <c r="E36" s="167" t="str">
        <f>IF($C$18='Auto Responses'!$J$4,'Auto Responses'!$A$6,IF($C36='Auto Responses'!$J$3,VLOOKUP($A36,Questions!$A$2:$X$333,17,0)&amp;"",IF($C36='Auto Responses'!$J$4,VLOOKUP($A36,Questions!$A$2:$X$333,16,0)&amp;"",VLOOKUP($A36,Questions!$A$2:$X$333,15,0)&amp;"")))</f>
        <v>Please answer based on whether your solution uses user input data (e.g., prompts, uploads, queries) to fine-tune, train, or otherwise influence the behavior of your AI model. Consider any use of user data for model improvement, personalization, or aggregated learning.</v>
      </c>
      <c r="F36" s="201" t="str">
        <f>VLOOKUP($A36,'Institution Evaluation'!$A$56:$F$345,6,0)&amp;""</f>
        <v/>
      </c>
      <c r="I36" s="35"/>
      <c r="J36" s="35"/>
    </row>
    <row r="37" spans="1:10" s="1" customFormat="1" ht="99.75" x14ac:dyDescent="0.2">
      <c r="A37" s="19" t="s">
        <v>796</v>
      </c>
      <c r="B37" s="18" t="str">
        <f>VLOOKUP($A37,Questions!$A$2:$X$333,2,0)</f>
        <v>Do you provide logging for your solution's AI feature(s) that includes user, date, and action taken?*</v>
      </c>
      <c r="C37" s="21"/>
      <c r="D37" s="313"/>
      <c r="E37" s="167" t="str">
        <f>IF($C$18='Auto Responses'!$J$4,'Auto Responses'!$A$6,IF($C37='Auto Responses'!$J$3,VLOOKUP($A37,Questions!$A$2:$X$333,17,0)&amp;"",IF($C37='Auto Responses'!$J$4,VLOOKUP($A37,Questions!$A$2:$X$333,16,0)&amp;"",VLOOKUP($A37,Questions!$A$2:$X$333,15,0)&amp;"")))</f>
        <v>Please answer based on whether your AI features generate audit logs that record user identity, timestamp, and actions taken. Include log retention, immutability, access for administrators or auditors, and how logs support compliance and incident response.</v>
      </c>
      <c r="F37" s="201" t="str">
        <f>VLOOKUP($A37,'Institution Evaluation'!$A$56:$F$345,6,0)&amp;""</f>
        <v/>
      </c>
      <c r="I37" s="35"/>
      <c r="J37" s="35"/>
    </row>
    <row r="38" spans="1:10" s="1" customFormat="1" ht="85.5" x14ac:dyDescent="0.2">
      <c r="A38" s="19" t="s">
        <v>797</v>
      </c>
      <c r="B38" s="18" t="str">
        <f>VLOOKUP($A38,Questions!$A$2:$X$333,2,0)</f>
        <v>Please describe how you validate user inputs.</v>
      </c>
      <c r="C38" s="77"/>
      <c r="D38" s="313"/>
      <c r="E38" s="167" t="str">
        <f>IF($C$18='Auto Responses'!$J$4,'Auto Responses'!$A$6,IF($C38='Auto Responses'!$J$3,VLOOKUP($A38,Questions!$A$2:$X$333,17,0)&amp;"",IF($C38='Auto Responses'!$J$4,VLOOKUP($A38,Questions!$A$2:$X$333,16,0)&amp;"",VLOOKUP($A38,Questions!$A$2:$X$333,15,0)&amp;"")))</f>
        <v>Please describe how your solution validates user inputs, including detection of anomalies, malicious inputs, and sensitive data. Indicate where validation occurs and how it supports security and compliance.</v>
      </c>
      <c r="F38" s="201" t="str">
        <f>VLOOKUP($A38,'Institution Evaluation'!$A$56:$F$345,6,0)&amp;""</f>
        <v/>
      </c>
      <c r="I38" s="35"/>
      <c r="J38" s="35"/>
    </row>
    <row r="39" spans="1:10" s="1" customFormat="1" ht="49.5" customHeight="1" thickBot="1" x14ac:dyDescent="0.25">
      <c r="A39" s="19" t="s">
        <v>798</v>
      </c>
      <c r="B39" s="18" t="str">
        <f>VLOOKUP($A39,Questions!$A$2:$X$333,2,0)</f>
        <v>Do you plan for and mitigate supply-chain risk related to your AI features?</v>
      </c>
      <c r="C39" s="21"/>
      <c r="D39" s="313"/>
      <c r="E39" s="167" t="str">
        <f>IF($C$18='Auto Responses'!$J$4,'Auto Responses'!$A$6,IF($C39='Auto Responses'!$J$3,VLOOKUP($A39,Questions!$A$2:$X$333,17,0)&amp;"",IF($C39='Auto Responses'!$J$4,VLOOKUP($A39,Questions!$A$2:$X$333,16,0)&amp;"",VLOOKUP($A39,Questions!$A$2:$X$333,15,0)&amp;"")))</f>
        <v/>
      </c>
      <c r="F39" s="201" t="str">
        <f>VLOOKUP($A39,'Institution Evaluation'!$A$56:$F$345,6,0)&amp;""</f>
        <v/>
      </c>
      <c r="G39" s="238" t="s">
        <v>1449</v>
      </c>
      <c r="I39" s="35"/>
      <c r="J39" s="35"/>
    </row>
    <row r="40" spans="1:10" s="1" customFormat="1" ht="37.35" customHeight="1" thickBot="1" x14ac:dyDescent="0.25">
      <c r="A40" s="63" t="str">
        <f>VLOOKUP(LEFT($A41,4),'Auto Responses'!$N$4:$O$38,2,0)&amp;""</f>
        <v xml:space="preserve"> AI Machine Learning</v>
      </c>
      <c r="B40" s="22"/>
      <c r="C40" s="13" t="s">
        <v>1497</v>
      </c>
      <c r="D40" s="13" t="s">
        <v>72</v>
      </c>
      <c r="E40" s="31" t="s">
        <v>848</v>
      </c>
      <c r="F40" s="202" t="s">
        <v>849</v>
      </c>
      <c r="I40" s="35"/>
      <c r="J40" s="35"/>
    </row>
    <row r="41" spans="1:10" s="1" customFormat="1" ht="119.25" customHeight="1" x14ac:dyDescent="0.2">
      <c r="A41" s="19" t="s">
        <v>799</v>
      </c>
      <c r="B41" s="18" t="str">
        <f>VLOOKUP($A41,Questions!$A$2:$X$333,2,0)</f>
        <v>Do you separate ML training data from your ML solution data?*</v>
      </c>
      <c r="C41" s="21"/>
      <c r="D41" s="313"/>
      <c r="E41" s="167" t="str">
        <f>IF($C$18='Auto Responses'!$J$4,'Auto Responses'!$A$6,IF($C$20='Auto Responses'!$J$4,'Auto Responses'!$A$10,IF($C41='Auto Responses'!$J$3,VLOOKUP($A41,Questions!$A$2:$X$333,17,0)&amp;"",IF($C41='Auto Responses'!$J$4,VLOOKUP($A41,Questions!$A$2:$X$333,16,0)&amp;"",VLOOKUP($A41,Questions!$A$2:$X$333,15,0)&amp;""))))</f>
        <v>Please answer based on whether training data is kept separate from production data to protect institutional information. Include how organizational data is segregated, anonymized, or excluded from training, and state whether institutions can opt out of data use for model improvement.</v>
      </c>
      <c r="F41" s="201" t="str">
        <f>VLOOKUP($A41,'Institution Evaluation'!$A$56:$F$345,6,0)&amp;""</f>
        <v/>
      </c>
      <c r="I41" s="35"/>
      <c r="J41" s="35"/>
    </row>
    <row r="42" spans="1:10" s="1" customFormat="1" ht="74.25" customHeight="1" x14ac:dyDescent="0.2">
      <c r="A42" s="19" t="s">
        <v>800</v>
      </c>
      <c r="B42" s="18" t="str">
        <f>VLOOKUP($A42,Questions!$A$2:$X$333,2,0)</f>
        <v>Do you authenticate and verify your ML model's feedback?*</v>
      </c>
      <c r="C42" s="21"/>
      <c r="D42" s="313"/>
      <c r="E42" s="167" t="str">
        <f>IF($C$18='Auto Responses'!$J$4,'Auto Responses'!$A$6,IF($C$20='Auto Responses'!$J$4,'Auto Responses'!$A$10,IF($C42='Auto Responses'!$J$3,VLOOKUP($A42,Questions!$A$2:$X$333,17,0)&amp;"",IF($C42='Auto Responses'!$J$4,VLOOKUP($A42,Questions!$A$2:$X$333,16,0)&amp;"",VLOOKUP($A42,Questions!$A$2:$X$333,15,0)&amp;""))))</f>
        <v/>
      </c>
      <c r="F42" s="201" t="str">
        <f>VLOOKUP($A42,'Institution Evaluation'!$A$56:$F$345,6,0)&amp;""</f>
        <v/>
      </c>
      <c r="I42" s="35"/>
      <c r="J42" s="35"/>
    </row>
    <row r="43" spans="1:10" s="1" customFormat="1" ht="110.25" customHeight="1" x14ac:dyDescent="0.2">
      <c r="A43" s="19" t="s">
        <v>801</v>
      </c>
      <c r="B43" s="18" t="str">
        <f>VLOOKUP($A43,Questions!$A$2:$X$333,2,0)</f>
        <v>Is your ML training data vetted, validated, and verified before training the solution's AI model?</v>
      </c>
      <c r="C43" s="21"/>
      <c r="D43" s="313"/>
      <c r="E43" s="167" t="str">
        <f>IF($C$18='Auto Responses'!$J$4,'Auto Responses'!$A$6,IF($C$20='Auto Responses'!$J$4,'Auto Responses'!$A$10,IF($C43='Auto Responses'!$J$3,VLOOKUP($A43,Questions!$A$2:$X$333,17,0)&amp;"",IF($C43='Auto Responses'!$J$4,VLOOKUP($A43,Questions!$A$2:$X$333,16,0)&amp;"",VLOOKUP($A43,Questions!$A$2:$X$333,15,0)&amp;""))))</f>
        <v/>
      </c>
      <c r="F43" s="201" t="str">
        <f>VLOOKUP($A43,'Institution Evaluation'!$A$56:$F$345,6,0)&amp;""</f>
        <v/>
      </c>
      <c r="I43" s="35"/>
      <c r="J43" s="35"/>
    </row>
    <row r="44" spans="1:10" s="1" customFormat="1" ht="38.25" customHeight="1" x14ac:dyDescent="0.2">
      <c r="A44" s="19" t="s">
        <v>803</v>
      </c>
      <c r="B44" s="18" t="str">
        <f>VLOOKUP($A44,Questions!$A$2:$X$333,2,0)</f>
        <v>Is your ML training data monitored and audited?</v>
      </c>
      <c r="C44" s="21"/>
      <c r="D44" s="313"/>
      <c r="E44" s="167" t="str">
        <f>IF($C$18='Auto Responses'!$J$4,'Auto Responses'!$A$6,IF($C$20='Auto Responses'!$J$4,'Auto Responses'!$A$10,IF($C44='Auto Responses'!$J$3,VLOOKUP($A44,Questions!$A$2:$X$333,17,0)&amp;"",IF($C44='Auto Responses'!$J$4,VLOOKUP($A44,Questions!$A$2:$X$333,16,0)&amp;"",VLOOKUP($A44,Questions!$A$2:$X$333,15,0)&amp;""))))</f>
        <v/>
      </c>
      <c r="F44" s="201" t="str">
        <f>VLOOKUP($A44,'Institution Evaluation'!$A$56:$F$345,6,0)&amp;""</f>
        <v/>
      </c>
      <c r="I44" s="35"/>
      <c r="J44" s="35"/>
    </row>
    <row r="45" spans="1:10" s="1" customFormat="1" ht="63" customHeight="1" x14ac:dyDescent="0.2">
      <c r="A45" s="19" t="s">
        <v>805</v>
      </c>
      <c r="B45" s="18" t="str">
        <f>VLOOKUP($A45,Questions!$A$2:$X$333,2,0)</f>
        <v>Have you limited access to your ML training data to only staff with an explicit business need?</v>
      </c>
      <c r="C45" s="21"/>
      <c r="D45" s="313"/>
      <c r="E45" s="167" t="str">
        <f>IF($C$18='Auto Responses'!$J$4,'Auto Responses'!$A$6,IF($C$20='Auto Responses'!$J$4,'Auto Responses'!$A$10,IF($C45='Auto Responses'!$J$3,VLOOKUP($A45,Questions!$A$2:$X$333,17,0)&amp;"",IF($C45='Auto Responses'!$J$4,VLOOKUP($A45,Questions!$A$2:$X$333,16,0)&amp;"",VLOOKUP($A45,Questions!$A$2:$X$333,15,0)&amp;""))))</f>
        <v/>
      </c>
      <c r="F45" s="201" t="str">
        <f>VLOOKUP($A45,'Institution Evaluation'!$A$56:$F$345,6,0)&amp;""</f>
        <v/>
      </c>
      <c r="I45" s="35"/>
      <c r="J45" s="35"/>
    </row>
    <row r="46" spans="1:10" s="1" customFormat="1" ht="101.25" customHeight="1" x14ac:dyDescent="0.2">
      <c r="A46" s="19" t="s">
        <v>806</v>
      </c>
      <c r="B46" s="18" t="str">
        <f>VLOOKUP($A46,Questions!$A$2:$X$333,2,0)</f>
        <v>Have you implemented adversarial training or other model defense mechanisms to protect your ML-related features?</v>
      </c>
      <c r="C46" s="21"/>
      <c r="D46" s="313"/>
      <c r="E46" s="167" t="str">
        <f>IF($C$18='Auto Responses'!$J$4,'Auto Responses'!$A$6,IF($C$20='Auto Responses'!$J$4,'Auto Responses'!$A$10,IF($C46='Auto Responses'!$J$3,VLOOKUP($A46,Questions!$A$2:$X$333,17,0)&amp;"",IF($C46='Auto Responses'!$J$4,VLOOKUP($A46,Questions!$A$2:$X$333,16,0)&amp;"",VLOOKUP($A46,Questions!$A$2:$X$333,15,0)&amp;""))))</f>
        <v/>
      </c>
      <c r="F46" s="201" t="str">
        <f>VLOOKUP($A46,'Institution Evaluation'!$A$56:$F$345,6,0)&amp;""</f>
        <v/>
      </c>
      <c r="I46" s="35"/>
      <c r="J46" s="35"/>
    </row>
    <row r="47" spans="1:10" s="1" customFormat="1" ht="102.75" customHeight="1" x14ac:dyDescent="0.2">
      <c r="A47" s="19" t="s">
        <v>807</v>
      </c>
      <c r="B47" s="18" t="str">
        <f>VLOOKUP($A47,Questions!$A$2:$X$333,2,0)</f>
        <v>Do you make your ML model transparent through documentation and log inputs and outputs?</v>
      </c>
      <c r="C47" s="21"/>
      <c r="D47" s="313"/>
      <c r="E47" s="167" t="str">
        <f>IF($C$18='Auto Responses'!$J$4,'Auto Responses'!$A$6,IF($C$20='Auto Responses'!$J$4,'Auto Responses'!$A$10,IF($C47='Auto Responses'!$J$3,VLOOKUP($A47,Questions!$A$2:$X$333,17,0)&amp;"",IF($C47='Auto Responses'!$J$4,VLOOKUP($A47,Questions!$A$2:$X$333,16,0)&amp;"",VLOOKUP($A47,Questions!$A$2:$X$333,15,0)&amp;""))))</f>
        <v/>
      </c>
      <c r="F47" s="201" t="str">
        <f>VLOOKUP($A47,'Institution Evaluation'!$A$56:$F$345,6,0)&amp;""</f>
        <v/>
      </c>
      <c r="I47" s="35"/>
      <c r="J47" s="35"/>
    </row>
    <row r="48" spans="1:10" s="1" customFormat="1" ht="67.5" customHeight="1" thickBot="1" x14ac:dyDescent="0.25">
      <c r="A48" s="19" t="s">
        <v>809</v>
      </c>
      <c r="B48" s="18" t="str">
        <f>VLOOKUP($A48,Questions!$A$2:$X$333,2,0)</f>
        <v>Do you watermark your ML training data?</v>
      </c>
      <c r="C48" s="21"/>
      <c r="D48" s="313"/>
      <c r="E48" s="167" t="str">
        <f>IF($C$18='Auto Responses'!$J$4,'Auto Responses'!$A$6,IF($C$20='Auto Responses'!$J$4,'Auto Responses'!$A$10,IF($C48='Auto Responses'!$J$3,VLOOKUP($A48,Questions!$A$2:$X$333,17,0)&amp;"",IF($C48='Auto Responses'!$J$4,VLOOKUP($A48,Questions!$A$2:$X$333,16,0)&amp;"",VLOOKUP($A48,Questions!$A$2:$X$333,15,0)&amp;""))))</f>
        <v/>
      </c>
      <c r="F48" s="201" t="str">
        <f>VLOOKUP($A48,'Institution Evaluation'!$A$56:$F$345,6,0)&amp;""</f>
        <v/>
      </c>
      <c r="G48" s="238" t="s">
        <v>1449</v>
      </c>
      <c r="I48" s="35"/>
      <c r="J48" s="35"/>
    </row>
    <row r="49" spans="1:12" s="1" customFormat="1" ht="37.35" customHeight="1" thickBot="1" x14ac:dyDescent="0.25">
      <c r="A49" s="63" t="str">
        <f>VLOOKUP(LEFT($A50,4),'Auto Responses'!$N$4:$O$38,2,0)&amp;""</f>
        <v xml:space="preserve"> AI Large Language Model (LLM)</v>
      </c>
      <c r="B49" s="22"/>
      <c r="C49" s="13" t="s">
        <v>1497</v>
      </c>
      <c r="D49" s="13" t="s">
        <v>72</v>
      </c>
      <c r="E49" s="31" t="s">
        <v>848</v>
      </c>
      <c r="F49" s="202" t="s">
        <v>849</v>
      </c>
      <c r="I49" s="35"/>
      <c r="J49" s="35"/>
    </row>
    <row r="50" spans="1:12" s="1" customFormat="1" ht="60" customHeight="1" x14ac:dyDescent="0.2">
      <c r="A50" s="19" t="s">
        <v>810</v>
      </c>
      <c r="B50" s="18" t="str">
        <f>VLOOKUP($A50,Questions!$A$2:$X$333,2,0)</f>
        <v>Do you limit your solution's LLM privileges by default?*</v>
      </c>
      <c r="C50" s="21"/>
      <c r="D50" s="313"/>
      <c r="E50" s="167" t="str">
        <f>IF($C$18='Auto Responses'!$J$4,'Auto Responses'!$A$6,IF($C$21='Auto Responses'!$J$4,'Auto Responses'!$A$11,IF($C50='Auto Responses'!$J$3,VLOOKUP($A50,Questions!$A$2:$X$333,17,0)&amp;"",IF($C50='Auto Responses'!$J$4,VLOOKUP($A50,Questions!$A$2:$X$333,16,0)&amp;"",VLOOKUP($A50,Questions!$A$2:$X$333,15,0)&amp;""))))</f>
        <v/>
      </c>
      <c r="F50" s="201" t="str">
        <f>VLOOKUP($A50,'Institution Evaluation'!$A$56:$F$345,6,0)&amp;""</f>
        <v/>
      </c>
      <c r="I50" s="35"/>
      <c r="J50" s="35"/>
    </row>
    <row r="51" spans="1:12" s="1" customFormat="1" ht="102.75" customHeight="1" x14ac:dyDescent="0.2">
      <c r="A51" s="19" t="s">
        <v>811</v>
      </c>
      <c r="B51" s="18" t="str">
        <f>VLOOKUP($A51,Questions!$A$2:$X$333,2,0)</f>
        <v>Is your LLM training data vetted, validated, and verified before training the solution's AI model?*</v>
      </c>
      <c r="C51" s="21"/>
      <c r="D51" s="313"/>
      <c r="E51" s="167" t="str">
        <f>IF($C$18='Auto Responses'!$J$4,'Auto Responses'!$A$6,IF($C$21='Auto Responses'!$J$4,'Auto Responses'!$A$11,IF($C51='Auto Responses'!$J$3,VLOOKUP($A51,Questions!$A$2:$X$333,17,0)&amp;"",IF($C51='Auto Responses'!$J$4,VLOOKUP($A51,Questions!$A$2:$X$333,16,0)&amp;"",VLOOKUP($A51,Questions!$A$2:$X$333,15,0)&amp;""))))</f>
        <v/>
      </c>
      <c r="F51" s="201" t="str">
        <f>VLOOKUP($A51,'Institution Evaluation'!$A$56:$F$345,6,0)&amp;""</f>
        <v/>
      </c>
      <c r="I51" s="35"/>
      <c r="J51" s="35"/>
    </row>
    <row r="52" spans="1:12" s="1" customFormat="1" ht="75.75" customHeight="1" x14ac:dyDescent="0.2">
      <c r="A52" s="19" t="s">
        <v>812</v>
      </c>
      <c r="B52" s="18" t="str">
        <f>VLOOKUP($A52,Questions!$A$2:$X$333,2,0)</f>
        <v>Do any actions taken by your solution's LLM features or plugins require human intervention?*</v>
      </c>
      <c r="C52" s="21"/>
      <c r="D52" s="313"/>
      <c r="E52" s="167" t="str">
        <f>IF($C$18='Auto Responses'!$J$4,'Auto Responses'!$A$6,IF($C$21='Auto Responses'!$J$4,'Auto Responses'!$A$11,IF($C52='Auto Responses'!$J$3,VLOOKUP($A52,Questions!$A$2:$X$333,17,0)&amp;"",IF($C52='Auto Responses'!$J$4,VLOOKUP($A52,Questions!$A$2:$X$333,16,0)&amp;"",VLOOKUP($A52,Questions!$A$2:$X$333,15,0)&amp;""))))</f>
        <v/>
      </c>
      <c r="F52" s="201" t="str">
        <f>VLOOKUP($A52,'Institution Evaluation'!$A$56:$F$345,6,0)&amp;""</f>
        <v/>
      </c>
      <c r="I52" s="35"/>
      <c r="J52" s="35"/>
    </row>
    <row r="53" spans="1:12" s="1" customFormat="1" ht="67.5" customHeight="1" x14ac:dyDescent="0.2">
      <c r="A53" s="19" t="s">
        <v>813</v>
      </c>
      <c r="B53" s="18" t="str">
        <f>VLOOKUP($A53,Questions!$A$2:$X$333,2,0)</f>
        <v>Do you limit multiple LLM model plugins being called as part of a single input?*</v>
      </c>
      <c r="C53" s="21"/>
      <c r="D53" s="313"/>
      <c r="E53" s="167" t="str">
        <f>IF($C$18='Auto Responses'!$J$4,'Auto Responses'!$A$6,IF($C$21='Auto Responses'!$J$4,'Auto Responses'!$A$11,IF($C53='Auto Responses'!$J$3,VLOOKUP($A53,Questions!$A$2:$X$333,17,0)&amp;"",IF($C53='Auto Responses'!$J$4,VLOOKUP($A53,Questions!$A$2:$X$333,16,0)&amp;"",VLOOKUP($A53,Questions!$A$2:$X$333,15,0)&amp;""))))</f>
        <v/>
      </c>
      <c r="F53" s="201" t="str">
        <f>VLOOKUP($A53,'Institution Evaluation'!$A$56:$F$345,6,0)&amp;""</f>
        <v/>
      </c>
      <c r="I53" s="35"/>
      <c r="J53" s="35"/>
    </row>
    <row r="54" spans="1:12" s="1" customFormat="1" ht="49.5" customHeight="1" x14ac:dyDescent="0.2">
      <c r="A54" s="19" t="s">
        <v>814</v>
      </c>
      <c r="B54" s="18" t="str">
        <f>VLOOKUP($A54,Questions!$A$2:$X$333,2,0)</f>
        <v>Do you limit your solution's LLM resource use per request, per step, and per action?</v>
      </c>
      <c r="C54" s="21"/>
      <c r="D54" s="313"/>
      <c r="E54" s="167" t="str">
        <f>IF($C$18='Auto Responses'!$J$4,'Auto Responses'!$A$6,IF($C$21='Auto Responses'!$J$4,'Auto Responses'!$A$11,IF($C54='Auto Responses'!$J$3,VLOOKUP($A54,Questions!$A$2:$X$333,17,0)&amp;"",IF($C54='Auto Responses'!$J$4,VLOOKUP($A54,Questions!$A$2:$X$333,16,0)&amp;"",VLOOKUP($A54,Questions!$A$2:$X$333,15,0)&amp;""))))</f>
        <v/>
      </c>
      <c r="F54" s="201" t="str">
        <f>VLOOKUP($A54,'Institution Evaluation'!$A$56:$F$345,6,0)&amp;""</f>
        <v/>
      </c>
      <c r="I54" s="35"/>
      <c r="J54" s="35"/>
    </row>
    <row r="55" spans="1:12" s="1" customFormat="1" ht="55.5" customHeight="1" x14ac:dyDescent="0.2">
      <c r="A55" s="19" t="s">
        <v>815</v>
      </c>
      <c r="B55" s="18" t="str">
        <f>VLOOKUP($A55,Questions!$A$2:$X$333,2,0)</f>
        <v>Do you leverage LLM model tuning or other model validation mechanisms?</v>
      </c>
      <c r="C55" s="21"/>
      <c r="D55" s="313"/>
      <c r="E55" s="167" t="str">
        <f>IF($C$18='Auto Responses'!$J$4,'Auto Responses'!$A$6,IF($C$21='Auto Responses'!$J$4,'Auto Responses'!$A$11,IF($C55='Auto Responses'!$J$3,VLOOKUP($A55,Questions!$A$2:$X$333,17,0)&amp;"",IF($C55='Auto Responses'!$J$4,VLOOKUP($A55,Questions!$A$2:$X$333,16,0)&amp;"",VLOOKUP($A55,Questions!$A$2:$X$333,15,0)&amp;""))))</f>
        <v/>
      </c>
      <c r="F55" s="201" t="str">
        <f>VLOOKUP($A55,'Institution Evaluation'!$A$56:$F$345,6,0)&amp;""</f>
        <v/>
      </c>
      <c r="G55" s="238" t="s">
        <v>1449</v>
      </c>
      <c r="I55" s="35"/>
      <c r="J55" s="35"/>
    </row>
    <row r="56" spans="1:12" s="1" customFormat="1" ht="33" customHeight="1" x14ac:dyDescent="0.2">
      <c r="A56" s="267" t="s">
        <v>1507</v>
      </c>
      <c r="C56" s="8"/>
      <c r="D56" s="9"/>
      <c r="E56" s="239" t="s">
        <v>1450</v>
      </c>
      <c r="F56" s="199"/>
      <c r="G56" s="199"/>
      <c r="I56" s="35"/>
      <c r="J56" s="35"/>
    </row>
    <row r="57" spans="1:12" s="1" customFormat="1" ht="15" hidden="1" customHeight="1" x14ac:dyDescent="0.2">
      <c r="A57"/>
      <c r="C57" s="8"/>
      <c r="D57" s="9"/>
      <c r="E57" s="10"/>
      <c r="F57" s="199"/>
      <c r="G57" s="199"/>
      <c r="I57" s="35"/>
      <c r="J57" s="35"/>
    </row>
    <row r="58" spans="1:12" ht="15" hidden="1" customHeight="1" x14ac:dyDescent="0.2">
      <c r="A58" s="1"/>
      <c r="B58" s="8"/>
      <c r="C58" s="71"/>
      <c r="D58" s="10"/>
      <c r="E58" s="1"/>
      <c r="F58" s="199"/>
      <c r="G58" s="199"/>
      <c r="H58" s="35"/>
      <c r="I58" s="1"/>
      <c r="J58" s="1"/>
      <c r="L58"/>
    </row>
    <row r="59" spans="1:12" ht="0" hidden="1" customHeight="1" x14ac:dyDescent="0.2">
      <c r="A59" s="19" t="e">
        <f>#REF!</f>
        <v>#REF!</v>
      </c>
    </row>
    <row r="60" spans="1:12" ht="0" hidden="1" customHeight="1" x14ac:dyDescent="0.2">
      <c r="A60" s="19" t="e">
        <f>#REF!</f>
        <v>#REF!</v>
      </c>
    </row>
    <row r="61" spans="1:12" ht="0" hidden="1" customHeight="1" x14ac:dyDescent="0.2">
      <c r="A61" s="19" t="e">
        <f>#REF!</f>
        <v>#REF!</v>
      </c>
    </row>
    <row r="62" spans="1:12" ht="0" hidden="1" customHeight="1" x14ac:dyDescent="0.2">
      <c r="A62" s="19" t="e">
        <f>#REF!</f>
        <v>#REF!</v>
      </c>
    </row>
    <row r="63" spans="1:12" ht="0" hidden="1" customHeight="1" x14ac:dyDescent="0.2">
      <c r="A63" s="19" t="e">
        <f>#REF!</f>
        <v>#REF!</v>
      </c>
    </row>
    <row r="64" spans="1:12" ht="0" hidden="1" customHeight="1" x14ac:dyDescent="0.2">
      <c r="A64" s="19" t="e">
        <f>#REF!</f>
        <v>#REF!</v>
      </c>
    </row>
    <row r="65" spans="1:1" ht="0" hidden="1" customHeight="1" x14ac:dyDescent="0.2">
      <c r="A65" s="19" t="e">
        <f>#REF!</f>
        <v>#REF!</v>
      </c>
    </row>
    <row r="1048576" ht="3" customHeight="1" x14ac:dyDescent="0.2"/>
  </sheetData>
  <dataValidations count="3">
    <dataValidation allowBlank="1" showInputMessage="1" showErrorMessage="1" promptTitle="Warning!" prompt="The HECVAT is built using a number of complex formulas. Editing this cell can break the functionality of the tool. " sqref="C2 A3:A56 C17:D17 C19:D19 E17:F55 C5:F12 D2:F3 B2:B56 C22:D22 C28:D28 C34:D34 C40:D40 C49:D49"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8EA972C4-6F3E-47BF-99CE-89C558F52B53}"/>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807CE64-50A3-451A-8C43-A77901C13944}">
          <x14:formula1>
            <xm:f>'Auto Responses'!$J$3:$J$4</xm:f>
          </x14:formula1>
          <xm:sqref>C20:C21 C41:C48 C27 C36:C37 C25 C39 C50:C55 C23 C29:C31 C33</xm:sqref>
        </x14:dataValidation>
        <x14:dataValidation type="list" allowBlank="1" showInputMessage="1" showErrorMessage="1" xr:uid="{C32B3913-2C19-447B-8AE2-A94FD3140428}">
          <x14:formula1>
            <xm:f>'Auto Responses'!$J$3:$J$5</xm:f>
          </x14:formula1>
          <xm:sqref>C24 C32 C35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40" customWidth="1"/>
    <col min="6" max="6" width="30.69921875" style="196" customWidth="1"/>
    <col min="7" max="7" width="18.09765625" style="1" customWidth="1"/>
    <col min="8" max="8" width="18.09765625" style="35" hidden="1" customWidth="1"/>
    <col min="9" max="10" width="18.09765625" style="1" hidden="1" customWidth="1"/>
    <col min="11" max="11" width="6.59765625" style="1" hidden="1" customWidth="1"/>
    <col min="12" max="16384" width="6.59765625" hidden="1"/>
  </cols>
  <sheetData>
    <row r="1" spans="1:9" ht="0" hidden="1" customHeight="1" x14ac:dyDescent="0.2">
      <c r="A1" t="s">
        <v>1448</v>
      </c>
    </row>
    <row r="2" spans="1:9" ht="36" customHeight="1" x14ac:dyDescent="0.2">
      <c r="A2" s="168" t="s">
        <v>1381</v>
      </c>
      <c r="B2" s="168"/>
      <c r="C2" s="169"/>
      <c r="D2" s="308"/>
      <c r="E2" s="170"/>
      <c r="F2" s="197" t="str">
        <f>'Auto Responses'!$A$36</f>
        <v>Version 4.1.5</v>
      </c>
    </row>
    <row r="3" spans="1:9" s="1" customFormat="1" ht="29.1" customHeight="1" x14ac:dyDescent="0.2">
      <c r="A3" s="37" t="s">
        <v>940</v>
      </c>
      <c r="B3" s="78"/>
      <c r="C3" s="66">
        <f>'START HERE'!$C$3</f>
        <v>0</v>
      </c>
      <c r="D3" s="309"/>
      <c r="E3" s="36"/>
      <c r="F3" s="50"/>
      <c r="H3" s="35"/>
    </row>
    <row r="4" spans="1:9" s="1" customFormat="1" ht="36" customHeight="1" x14ac:dyDescent="0.2">
      <c r="A4" s="11" t="s">
        <v>865</v>
      </c>
      <c r="B4" s="12"/>
      <c r="C4" s="13"/>
      <c r="D4" s="14"/>
      <c r="E4" s="15"/>
      <c r="F4" s="15"/>
      <c r="H4" s="35"/>
    </row>
    <row r="5" spans="1:9" s="1" customFormat="1" ht="19.5" customHeight="1" x14ac:dyDescent="0.2">
      <c r="A5" s="42" t="str">
        <f>HLOOKUP($A$4,'Auto Responses'!$D$2:$D$8,2,0)&amp;""</f>
        <v>1. Complete the "Start Here" tab and review the "Required Questions" guidance to find the other sections are required for your product or service.</v>
      </c>
      <c r="B5" s="16"/>
      <c r="C5" s="67"/>
      <c r="D5" s="310"/>
      <c r="E5" s="16"/>
      <c r="F5" s="261"/>
      <c r="I5" s="35"/>
    </row>
    <row r="6" spans="1:9" s="1" customFormat="1" ht="19.5" customHeight="1" x14ac:dyDescent="0.2">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9" s="1" customFormat="1" ht="19.5" customHeight="1" x14ac:dyDescent="0.2">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9" s="1" customFormat="1" ht="19.5" customHeight="1" x14ac:dyDescent="0.2">
      <c r="A8" s="42" t="str">
        <f>HLOOKUP($A$4,'Auto Responses'!$D$2:$D$8,5,0)&amp;""</f>
        <v>4. DO NOT complete any fields in the "Evaluation" sheets or the "Analyst Notes" column.</v>
      </c>
      <c r="B8" s="16"/>
      <c r="C8" s="67"/>
      <c r="D8" s="310"/>
      <c r="E8" s="16"/>
      <c r="F8" s="262"/>
      <c r="I8" s="35"/>
    </row>
    <row r="9" spans="1:9" s="1" customFormat="1" ht="19.5" customHeight="1" x14ac:dyDescent="0.2">
      <c r="A9" s="42" t="str">
        <f>HLOOKUP($A$4,'Auto Responses'!$D$2:$D$8,6,0)&amp;""</f>
        <v>5. Return the completed file to institutions.</v>
      </c>
      <c r="B9" s="16"/>
      <c r="C9" s="67"/>
      <c r="D9" s="310"/>
      <c r="E9" s="16"/>
      <c r="F9" s="262"/>
      <c r="I9" s="35"/>
    </row>
    <row r="10" spans="1:9" s="1" customFormat="1" ht="19.5" customHeight="1" x14ac:dyDescent="0.2">
      <c r="A10" s="247" t="str">
        <f>HLOOKUP($A$4,'Auto Responses'!$D$2:$D$8,7,0)&amp;""</f>
        <v>* Denotes critical questions. Critical questions are those deemed most important to institutions by higher education volunteers.</v>
      </c>
      <c r="B10" s="16"/>
      <c r="C10" s="67"/>
      <c r="D10" s="310"/>
      <c r="E10" s="16"/>
      <c r="F10" s="262"/>
      <c r="I10" s="35"/>
    </row>
    <row r="11" spans="1:9" s="1" customFormat="1" ht="19.5" customHeight="1" x14ac:dyDescent="0.2">
      <c r="A11" s="246" t="str">
        <f>HLOOKUP($A$4,'Auto Responses'!$D$2:$D$9,8,0)&amp;""</f>
        <v>For full instructions, please visit educause.edu/HECVAT</v>
      </c>
      <c r="B11" s="16"/>
      <c r="C11" s="67"/>
      <c r="D11" s="310"/>
      <c r="E11" s="16"/>
      <c r="F11" s="263"/>
      <c r="I11" s="35"/>
    </row>
    <row r="12" spans="1:9" s="1" customFormat="1" ht="36" customHeight="1" x14ac:dyDescent="0.2">
      <c r="A12" s="63" t="str">
        <f>VLOOKUP(LEFT($A13,4),'Auto Responses'!$N$4:$O$38,2,0)&amp;""</f>
        <v xml:space="preserve"> General Information</v>
      </c>
      <c r="B12" s="12"/>
      <c r="C12" s="13" t="s">
        <v>1497</v>
      </c>
      <c r="D12" s="327"/>
      <c r="E12" s="80"/>
      <c r="F12" s="80"/>
      <c r="H12" s="35"/>
    </row>
    <row r="13" spans="1:9" s="1" customFormat="1" ht="22.35" customHeight="1" x14ac:dyDescent="0.2">
      <c r="A13" s="19" t="s">
        <v>21</v>
      </c>
      <c r="B13" s="79" t="str">
        <f>VLOOKUP($A13,Questions!$A$2:$X$333,2,0)&amp;""</f>
        <v>Solution Provider Name</v>
      </c>
      <c r="C13" s="76" t="str">
        <f>VLOOKUP($A13,'START HERE'!$A$13:$C$21,3,0)&amp;""</f>
        <v/>
      </c>
      <c r="D13" s="309"/>
      <c r="E13" s="36"/>
      <c r="F13" s="50"/>
      <c r="H13" s="35"/>
    </row>
    <row r="14" spans="1:9" s="1" customFormat="1" ht="22.35" customHeight="1" x14ac:dyDescent="0.2">
      <c r="A14" s="19" t="s">
        <v>24</v>
      </c>
      <c r="B14" s="79" t="str">
        <f>VLOOKUP($A14,Questions!$A$2:$X$333,2,0)&amp;""</f>
        <v>Solution Name</v>
      </c>
      <c r="C14" s="76" t="str">
        <f>VLOOKUP($A14,'START HERE'!$A$13:$C$21,3,0)&amp;""</f>
        <v/>
      </c>
      <c r="D14" s="309"/>
      <c r="E14" s="36"/>
      <c r="F14" s="50"/>
      <c r="H14" s="35"/>
    </row>
    <row r="15" spans="1:9" s="1" customFormat="1" ht="22.35" customHeight="1" x14ac:dyDescent="0.2">
      <c r="A15" s="19" t="s">
        <v>25</v>
      </c>
      <c r="B15" s="79" t="str">
        <f>VLOOKUP($A15,Questions!$A$2:$X$333,2,0)&amp;""</f>
        <v>Solution Description</v>
      </c>
      <c r="C15" s="76" t="str">
        <f>VLOOKUP($A15,'START HERE'!$A$13:$C$21,3,0)&amp;""</f>
        <v/>
      </c>
      <c r="D15" s="309"/>
      <c r="E15" s="36"/>
      <c r="F15" s="50"/>
      <c r="H15" s="35"/>
    </row>
    <row r="16" spans="1:9" s="1" customFormat="1" ht="22.35" customHeight="1" x14ac:dyDescent="0.2">
      <c r="A16" s="19" t="s">
        <v>30</v>
      </c>
      <c r="B16" s="79" t="str">
        <f>VLOOKUP($A16,Questions!$A$2:$X$333,2,0)&amp;""</f>
        <v>Country of Company Headquarters</v>
      </c>
      <c r="C16" s="76" t="str">
        <f>VLOOKUP($A16,'START HERE'!$A$13:$C$21,3,0)&amp;""</f>
        <v/>
      </c>
      <c r="D16" s="309"/>
      <c r="E16" s="36"/>
      <c r="F16" s="50"/>
      <c r="H16" s="35"/>
    </row>
    <row r="17" spans="1:8" s="1" customFormat="1" ht="22.35" customHeight="1" x14ac:dyDescent="0.2">
      <c r="A17" s="19" t="s">
        <v>32</v>
      </c>
      <c r="B17" s="79" t="str">
        <f>VLOOKUP($A17,Questions!$A$2:$X$333,2,0)&amp;""</f>
        <v>Employee Work Locations (all)</v>
      </c>
      <c r="C17" s="76" t="str">
        <f>VLOOKUP($A17,'START HERE'!$A$13:$C$21,3,0)&amp;""</f>
        <v/>
      </c>
      <c r="D17" s="309"/>
      <c r="E17" s="36"/>
      <c r="F17" s="50"/>
      <c r="H17" s="35"/>
    </row>
    <row r="18" spans="1:8" s="1" customFormat="1" ht="37.35" customHeight="1" thickBot="1" x14ac:dyDescent="0.25">
      <c r="A18" s="63" t="str">
        <f>VLOOKUP(LEFT($A19,4),'Auto Responses'!$N$4:$O$38,2,0)&amp;""</f>
        <v xml:space="preserve"> Required Questions</v>
      </c>
      <c r="B18" s="22"/>
      <c r="C18" s="13" t="s">
        <v>1497</v>
      </c>
      <c r="D18" s="13" t="s">
        <v>72</v>
      </c>
      <c r="E18" s="31" t="s">
        <v>848</v>
      </c>
      <c r="F18" s="203" t="s">
        <v>849</v>
      </c>
      <c r="H18" s="35"/>
    </row>
    <row r="19" spans="1:8" s="1" customFormat="1" ht="38.25" customHeight="1" x14ac:dyDescent="0.2">
      <c r="A19" s="19" t="s">
        <v>58</v>
      </c>
      <c r="B19" s="18" t="str">
        <f>VLOOKUP($A19,Questions!$A$2:$X$333,2,0)</f>
        <v>Does your solution have AI features, or are there plans to implement AI features in the next 12 months?</v>
      </c>
      <c r="C19" s="72" t="str">
        <f>VLOOKUP($A19,'START HERE'!$A$23:$F$36,3,0)&amp;""</f>
        <v/>
      </c>
      <c r="D19" s="312" t="str">
        <f>VLOOKUP($A19,'START HERE'!$A$23:$F$36,4,0)&amp;""</f>
        <v/>
      </c>
      <c r="E19" s="167" t="str">
        <f>IF($C19='Auto Responses'!$J$3,VLOOKUP($A19,Questions!$A$2:$X$333,17,0)&amp;"",IF($C19='Auto Responses'!$J$4,VLOOKUP($A19,Questions!$A$2:$X$333,16,0)&amp;"",VLOOKUP($A19,Questions!$A$2:$X$333,15,0)&amp;""))</f>
        <v/>
      </c>
      <c r="F19" s="204" t="str">
        <f>VLOOKUP($A19,'START HERE'!$A$23:$F$36,6,0)&amp;""</f>
        <v/>
      </c>
      <c r="H19" s="35"/>
    </row>
    <row r="20" spans="1:8" s="1" customFormat="1" ht="50.25" customHeight="1" x14ac:dyDescent="0.2">
      <c r="A20" s="19" t="s">
        <v>61</v>
      </c>
      <c r="B20" s="18" t="str">
        <f>VLOOKUP($A20,Questions!$A$2:$X$333,2,0)</f>
        <v>Does your solution process protected health information (PHI) or any data covered by the Health Insurance Portability and Accountability Act (HIPAA)?</v>
      </c>
      <c r="C20" s="72" t="str">
        <f>VLOOKUP($A20,'START HERE'!$A$23:$F$36,3,0)&amp;""</f>
        <v/>
      </c>
      <c r="D20" s="312" t="str">
        <f>VLOOKUP($A20,'START HERE'!$A$23:$F$36,4,0)&amp;""</f>
        <v/>
      </c>
      <c r="E20" s="167" t="str">
        <f>IF($C20='Auto Responses'!$J$3,VLOOKUP($A20,Questions!$A$2:$X$333,17,0)&amp;"",IF($C20='Auto Responses'!$J$4,VLOOKUP($A20,Questions!$A$2:$X$333,16,0)&amp;"",VLOOKUP($A20,Questions!$A$2:$X$333,15,0)&amp;""))</f>
        <v>Answer "yes" if your solution handles personal health information (PHI), either directly or via a third party.</v>
      </c>
      <c r="F20" s="204" t="str">
        <f>VLOOKUP($A20,'START HERE'!$A$23:$F$36,6,0)&amp;""</f>
        <v/>
      </c>
      <c r="H20" s="35"/>
    </row>
    <row r="21" spans="1:8" s="1" customFormat="1" ht="56.25" customHeight="1" x14ac:dyDescent="0.2">
      <c r="A21" s="19" t="s">
        <v>64</v>
      </c>
      <c r="B21" s="18" t="str">
        <f>VLOOKUP($A21,Questions!$A$2:$X$333,2,0)</f>
        <v>Is the solution designed to process, store, or transmit credit card information?</v>
      </c>
      <c r="C21" s="72" t="str">
        <f>VLOOKUP($A21,'START HERE'!$A$23:$F$36,3,0)&amp;""</f>
        <v/>
      </c>
      <c r="D21" s="312" t="str">
        <f>VLOOKUP($A21,'START HERE'!$A$23:$F$36,4,0)&amp;""</f>
        <v/>
      </c>
      <c r="E21" s="167" t="str">
        <f>IF($C21='Auto Responses'!$J$3,VLOOKUP($A21,Questions!$A$2:$X$333,17,0)&amp;"",IF($C21='Auto Responses'!$J$4,VLOOKUP($A21,Questions!$A$2:$X$333,16,0)&amp;"",VLOOKUP($A21,Questions!$A$2:$X$333,15,0)&amp;""))</f>
        <v>Answer yes if your solution handles PCI (credit card) information, either directly or via a third party.</v>
      </c>
      <c r="F21" s="204" t="str">
        <f>VLOOKUP($A21,'START HERE'!$A$23:$F$36,6,0)&amp;""</f>
        <v/>
      </c>
      <c r="H21" s="35"/>
    </row>
    <row r="22" spans="1:8" s="1" customFormat="1" ht="56.25" customHeight="1" thickBot="1" x14ac:dyDescent="0.25">
      <c r="A22" s="19" t="s">
        <v>968</v>
      </c>
      <c r="B22" s="18" t="str">
        <f>VLOOKUP($A22,Questions!$A$2:$X$333,2,0)</f>
        <v>Does your solution have access to personal or institutional data?</v>
      </c>
      <c r="C22" s="72" t="str">
        <f>VLOOKUP($A22,'START HERE'!$A$23:$F$36,3,0)&amp;""</f>
        <v/>
      </c>
      <c r="D22" s="312" t="str">
        <f>VLOOKUP($A22,'START HERE'!$A$23:$F$36,4,0)&amp;""</f>
        <v/>
      </c>
      <c r="E22" s="167" t="str">
        <f>IF($C22='Auto Responses'!$J$3,VLOOKUP($A22,Questions!$A$2:$X$333,17,0)&amp;"",IF($C22='Auto Responses'!$J$4,VLOOKUP($A22,Questions!$A$2:$X$333,16,0)&amp;"",VLOOKUP($A22,Questions!$A$2:$X$333,15,0)&amp;""))</f>
        <v>This includes patient data, student data, employment data, human research data, financial data, etc.</v>
      </c>
      <c r="F22" s="204" t="str">
        <f>VLOOKUP($A22,'START HERE'!$A$23:$F$36,6,0)&amp;""</f>
        <v/>
      </c>
      <c r="G22" s="238" t="s">
        <v>1449</v>
      </c>
      <c r="H22" s="35"/>
    </row>
    <row r="23" spans="1:8" s="1" customFormat="1" ht="37.35" customHeight="1" thickBot="1" x14ac:dyDescent="0.25">
      <c r="A23" s="63" t="str">
        <f>VLOOKUP(LEFT($A24,4),'Auto Responses'!$N$4:$O$38,2,0)&amp;""</f>
        <v xml:space="preserve"> General Privacy</v>
      </c>
      <c r="B23" s="22"/>
      <c r="C23" s="13" t="s">
        <v>1497</v>
      </c>
      <c r="D23" s="13" t="s">
        <v>72</v>
      </c>
      <c r="E23" s="31" t="s">
        <v>848</v>
      </c>
      <c r="F23" s="202" t="s">
        <v>849</v>
      </c>
      <c r="H23" s="35"/>
    </row>
    <row r="24" spans="1:8" s="1" customFormat="1" ht="57" x14ac:dyDescent="0.2">
      <c r="A24" s="19" t="s">
        <v>857</v>
      </c>
      <c r="B24" s="18" t="str">
        <f>VLOOKUP($A24,Questions!$A$2:$X$333,2,0)</f>
        <v>Does your solution process FERPA-related data?</v>
      </c>
      <c r="C24" s="21"/>
      <c r="D24" s="326"/>
      <c r="E24" s="167" t="str">
        <f>IF($C24='Auto Responses'!$J$3,VLOOKUP($A24,Questions!$A$2:$X$333,17,0)&amp;"",IF($C24='Auto Responses'!$J$4,VLOOKUP($A24,Questions!$A$2:$X$333,16,0)&amp;"",VLOOKUP($A24,Questions!$A$2:$X$333,15,0)&amp;""))</f>
        <v>FERPA-related data includes any data maintained by (or on behalf of) the institution that is directly related to an identifiable student.</v>
      </c>
      <c r="F24" s="204" t="str">
        <f>VLOOKUP($A24,'Privacy Analyst Evaluation'!$A$46:$F$120,6,0)&amp;""</f>
        <v/>
      </c>
      <c r="H24" s="35"/>
    </row>
    <row r="25" spans="1:8" s="1" customFormat="1" ht="114" x14ac:dyDescent="0.2">
      <c r="A25" s="19" t="s">
        <v>858</v>
      </c>
      <c r="B25" s="18" t="str">
        <f>VLOOKUP($A25,Questions!$A$2:$X$333,2,0)</f>
        <v>Does your solution process GDPR-related or PIPL-related data?</v>
      </c>
      <c r="C25" s="21"/>
      <c r="D25" s="326"/>
      <c r="E25" s="167" t="str">
        <f>IF($C25='Auto Responses'!$J$3,VLOOKUP($A25,Questions!$A$2:$X$333,17,0)&amp;"",IF($C25='Auto Responses'!$J$4,VLOOKUP($A25,Questions!$A$2:$X$333,16,0)&amp;"",VLOOKUP($A25,Questions!$A$2:$X$333,15,0)&amp;""))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25" s="204" t="str">
        <f>VLOOKUP($A25,'Privacy Analyst Evaluation'!$A$46:$F$120,6,0)&amp;""</f>
        <v/>
      </c>
      <c r="H25" s="35"/>
    </row>
    <row r="26" spans="1:8" s="1" customFormat="1" ht="35.25" customHeight="1" x14ac:dyDescent="0.2">
      <c r="A26" s="19" t="s">
        <v>859</v>
      </c>
      <c r="B26" s="18" t="str">
        <f>VLOOKUP($A26,Questions!$A$2:$X$333,2,0)</f>
        <v>Does your solution process personal data regulated by state law(s) (e.g., CCPA)?</v>
      </c>
      <c r="C26" s="21"/>
      <c r="D26" s="326"/>
      <c r="E26" s="167" t="str">
        <f>IF($C26='Auto Responses'!$J$3,VLOOKUP($A26,Questions!$A$2:$X$333,17,0)&amp;"",IF($C26='Auto Responses'!$J$4,VLOOKUP($A26,Questions!$A$2:$X$333,16,0)&amp;"",VLOOKUP($A26,Questions!$A$2:$X$333,15,0)&amp;""))</f>
        <v/>
      </c>
      <c r="F26" s="204" t="str">
        <f>VLOOKUP($A26,'Privacy Analyst Evaluation'!$A$46:$F$120,6,0)&amp;""</f>
        <v/>
      </c>
      <c r="H26" s="35"/>
    </row>
    <row r="27" spans="1:8" s="1" customFormat="1" ht="39" customHeight="1" x14ac:dyDescent="0.2">
      <c r="A27" s="19" t="s">
        <v>860</v>
      </c>
      <c r="B27" s="18" t="str">
        <f>VLOOKUP($A27,Questions!$A$2:$X$333,2,0)</f>
        <v>Does your solution process user-provided data that may contain regulated information?</v>
      </c>
      <c r="C27" s="21"/>
      <c r="D27" s="326"/>
      <c r="E27" s="167" t="str">
        <f>IF($C27='Auto Responses'!$J$3,VLOOKUP($A27,Questions!$A$2:$X$333,17,0)&amp;"",IF($C27='Auto Responses'!$J$4,VLOOKUP($A27,Questions!$A$2:$X$333,16,0)&amp;"",VLOOKUP($A27,Questions!$A$2:$X$333,15,0)&amp;""))</f>
        <v/>
      </c>
      <c r="F27" s="204" t="str">
        <f>VLOOKUP($A27,'Privacy Analyst Evaluation'!$A$46:$F$120,6,0)&amp;""</f>
        <v/>
      </c>
      <c r="H27" s="35"/>
    </row>
    <row r="28" spans="1:8" s="1" customFormat="1" ht="27.75" customHeight="1" thickBot="1" x14ac:dyDescent="0.25">
      <c r="A28" s="19" t="s">
        <v>861</v>
      </c>
      <c r="B28" s="18" t="str">
        <f>VLOOKUP($A28,Questions!$A$2:$X$333,2,0)</f>
        <v>Web Link to Product/Service Privacy Notice</v>
      </c>
      <c r="C28" s="76"/>
      <c r="D28" s="320"/>
      <c r="E28" s="167" t="str">
        <f>IF($C28='Auto Responses'!$J$3,VLOOKUP($A28,Questions!$A$2:$X$333,17,0)&amp;"",IF($C28='Auto Responses'!$J$4,VLOOKUP($A28,Questions!$A$2:$X$333,16,0)&amp;"",VLOOKUP($A28,Questions!$A$2:$X$333,15,0)&amp;""))</f>
        <v>If multiple notices are implicated, provide all that apply. If any other documents are incorporated by reference, provide them as well.</v>
      </c>
      <c r="F28" s="204" t="str">
        <f>VLOOKUP($A28,'Privacy Analyst Evaluation'!$A$46:$F$120,6,0)&amp;""</f>
        <v/>
      </c>
      <c r="G28" s="238" t="s">
        <v>1449</v>
      </c>
      <c r="H28" s="35"/>
    </row>
    <row r="29" spans="1:8" s="1" customFormat="1" ht="37.35" customHeight="1" thickBot="1" x14ac:dyDescent="0.25">
      <c r="A29" s="63" t="str">
        <f>VLOOKUP(LEFT($A30,4),'Auto Responses'!$N$4:$O$38,2,0)&amp;""</f>
        <v xml:space="preserve"> Privacy-Specific Company Details</v>
      </c>
      <c r="B29" s="22"/>
      <c r="C29" s="13" t="s">
        <v>1497</v>
      </c>
      <c r="D29" s="13" t="s">
        <v>72</v>
      </c>
      <c r="E29" s="31" t="s">
        <v>848</v>
      </c>
      <c r="F29" s="202" t="s">
        <v>849</v>
      </c>
      <c r="H29" s="35"/>
    </row>
    <row r="30" spans="1:8" s="1" customFormat="1" ht="78" customHeight="1" x14ac:dyDescent="0.2">
      <c r="A30" s="19" t="s">
        <v>697</v>
      </c>
      <c r="B30" s="18" t="str">
        <f>VLOOKUP($A30,Questions!$A$2:$X$333,2,0)</f>
        <v>Have you had a personal data breach in the past three years that involved reporting to a governmental agency, notice to individuals (including voluntary notice), or notice to another organization or institution?*</v>
      </c>
      <c r="C30" s="21"/>
      <c r="D30" s="326"/>
      <c r="E30" s="167" t="str">
        <f>IF($C30='Auto Responses'!$J$3,VLOOKUP($A30,Questions!$A$2:$X$333,17,0)&amp;"",IF($C30='Auto Responses'!$J$4,VLOOKUP($A30,Questions!$A$2:$X$333,16,0)&amp;"",VLOOKUP($A30,Questions!$A$2:$X$333,15,0)&amp;""))</f>
        <v/>
      </c>
      <c r="F30" s="204" t="str">
        <f>VLOOKUP($A30,'Privacy Analyst Evaluation'!$A$46:$F$120,6,0)&amp;""</f>
        <v/>
      </c>
      <c r="H30" s="35"/>
    </row>
    <row r="31" spans="1:8" s="1" customFormat="1" ht="60.75" customHeight="1" x14ac:dyDescent="0.2">
      <c r="A31" s="19" t="s">
        <v>699</v>
      </c>
      <c r="B31" s="18" t="str">
        <f>VLOOKUP($A31,Questions!$A$2:$X$333,2,0)</f>
        <v>Use this area to share information about your privacy practices that will assist those who are assessing your company data privacy program.*</v>
      </c>
      <c r="C31" s="76"/>
      <c r="D31" s="320"/>
      <c r="E31" s="167" t="str">
        <f>IF($C31='Auto Responses'!$J$3,VLOOKUP($A31,Questions!$A$2:$X$333,17,0)&amp;"",IF($C31='Auto Responses'!$J$4,VLOOKUP($A31,Questions!$A$2:$X$333,16,0)&amp;"",VLOOKUP($A31,Questions!$A$2:$X$333,15,0)&amp;""))</f>
        <v>Share any additional details that would help data privacy analysts assess your solution.</v>
      </c>
      <c r="F31" s="204" t="str">
        <f>VLOOKUP($A31,'Privacy Analyst Evaluation'!$A$46:$F$120,6,0)&amp;""</f>
        <v/>
      </c>
      <c r="H31" s="35"/>
    </row>
    <row r="32" spans="1:8" s="1" customFormat="1" ht="42.75" customHeight="1" x14ac:dyDescent="0.2">
      <c r="A32" s="19" t="s">
        <v>700</v>
      </c>
      <c r="B32" s="18" t="str">
        <f>VLOOKUP($A32,Questions!$A$2:$X$333,2,0)</f>
        <v>Have you had any violations of your internal privacy policies or violations of applicable privacy law in the past 36 months?</v>
      </c>
      <c r="C32" s="21"/>
      <c r="D32" s="326"/>
      <c r="E32" s="167" t="str">
        <f>IF($C32='Auto Responses'!$J$3,VLOOKUP($A32,Questions!$A$2:$X$333,17,0)&amp;"",IF($C32='Auto Responses'!$J$4,VLOOKUP($A32,Questions!$A$2:$X$333,16,0)&amp;"",VLOOKUP($A32,Questions!$A$2:$X$333,15,0)&amp;""))</f>
        <v/>
      </c>
      <c r="F32" s="204" t="str">
        <f>VLOOKUP($A32,'Privacy Analyst Evaluation'!$A$46:$F$120,6,0)&amp;""</f>
        <v/>
      </c>
      <c r="H32" s="35"/>
    </row>
    <row r="33" spans="1:8" s="1" customFormat="1" ht="43.5" thickBot="1" x14ac:dyDescent="0.25">
      <c r="A33" s="19" t="s">
        <v>701</v>
      </c>
      <c r="B33" s="18" t="str">
        <f>VLOOKUP($A33,Questions!$A$2:$X$333,2,0)</f>
        <v>Do you have a dedicated data privacy staff or office?</v>
      </c>
      <c r="C33" s="21"/>
      <c r="D33" s="326"/>
      <c r="E33" s="167" t="str">
        <f>IF($C33='Auto Responses'!$J$3,VLOOKUP($A33,Questions!$A$2:$X$333,17,0)&amp;"",IF($C33='Auto Responses'!$J$4,VLOOKUP($A33,Questions!$A$2:$X$333,16,0)&amp;"",VLOOKUP($A33,Questions!$A$2:$X$333,15,0)&amp;""))</f>
        <v>This can include another office, such as information security, dedicated to privacy protection.</v>
      </c>
      <c r="F33" s="204" t="str">
        <f>VLOOKUP($A33,'Privacy Analyst Evaluation'!$A$46:$F$120,6,0)&amp;""</f>
        <v/>
      </c>
      <c r="G33" s="238" t="s">
        <v>1449</v>
      </c>
      <c r="H33" s="35"/>
    </row>
    <row r="34" spans="1:8" s="1" customFormat="1" ht="37.35" customHeight="1" thickBot="1" x14ac:dyDescent="0.25">
      <c r="A34" s="63" t="str">
        <f>VLOOKUP(LEFT($A35,4),'Auto Responses'!$N$4:$O$38,2,0)&amp;""</f>
        <v xml:space="preserve"> Privacy-Specific Documentation</v>
      </c>
      <c r="B34" s="22"/>
      <c r="C34" s="13" t="s">
        <v>1497</v>
      </c>
      <c r="D34" s="13" t="s">
        <v>72</v>
      </c>
      <c r="E34" s="31" t="s">
        <v>848</v>
      </c>
      <c r="F34" s="202" t="s">
        <v>849</v>
      </c>
      <c r="H34" s="35"/>
    </row>
    <row r="35" spans="1:8" s="1" customFormat="1" ht="99.75" customHeight="1" x14ac:dyDescent="0.2">
      <c r="A35" s="19" t="s">
        <v>702</v>
      </c>
      <c r="B35" s="18" t="str">
        <f>VLOOKUP($A35,Questions!$A$2:$X$333,2,0)</f>
        <v>If you have completed a SOC 2 audit, does it include the Privacy Trust Service Principle?</v>
      </c>
      <c r="C35" s="21"/>
      <c r="D35" s="326"/>
      <c r="E35" s="167" t="str">
        <f>IF($C35='Auto Responses'!$J$3,VLOOKUP($A35,Questions!$A$2:$X$333,17,0)&amp;"",IF($C35='Auto Responses'!$J$4,VLOOKUP($A35,Questions!$A$2:$X$333,16,0)&amp;"",IF($C35='Auto Responses'!$J$5,VLOOKUP($A35,Questions!$A$2:$X$333,18,0)&amp;"",VLOOKUP($A35,Questions!$A$2:$X$333,15,0)&amp;"")))</f>
        <v>SOC 2 Type II audits can be conducted for any or all of five trust principles (confidentiality, integrity, availability, security, and privacy). Answer "yes" if your audit included the privacy principle.</v>
      </c>
      <c r="F35" s="204" t="str">
        <f>VLOOKUP($A35,'Privacy Analyst Evaluation'!$A$46:$F$120,6,0)&amp;""</f>
        <v/>
      </c>
      <c r="H35" s="35"/>
    </row>
    <row r="36" spans="1:8" s="1" customFormat="1" ht="99.75" x14ac:dyDescent="0.2">
      <c r="A36" s="19" t="s">
        <v>703</v>
      </c>
      <c r="B36" s="18" t="str">
        <f>VLOOKUP($A36,Questions!$A$2:$X$333,2,0)</f>
        <v>Do you conform with a specific industry-standard privacy framework (e.g., NIST Privacy Framework, GDPR, ISO 27701)?</v>
      </c>
      <c r="C36" s="21"/>
      <c r="D36" s="326"/>
      <c r="E36" s="167" t="str">
        <f>IF($C36='Auto Responses'!$J$3,VLOOKUP($A36,Questions!$A$2:$X$333,17,0)&amp;"",IF($C36='Auto Responses'!$J$4,VLOOKUP($A36,Questions!$A$2:$X$333,16,0)&amp;"",VLOOKUP($A36,Questions!$A$2:$X$333,15,0)&amp;""))</f>
        <v>Standard privacy frameworks help organizations enhance data protection, mitigate privacy risks, and demonstrate compliance with appropriate industry and regulatory standards. This is particularly important when providing services in different jurisdictions.</v>
      </c>
      <c r="F36" s="204" t="str">
        <f>VLOOKUP($A36,'Privacy Analyst Evaluation'!$A$46:$F$120,6,0)&amp;""</f>
        <v/>
      </c>
      <c r="H36" s="35"/>
    </row>
    <row r="37" spans="1:8" s="1" customFormat="1" ht="40.5" customHeight="1" thickBot="1" x14ac:dyDescent="0.25">
      <c r="A37" s="19" t="s">
        <v>704</v>
      </c>
      <c r="B37" s="18" t="str">
        <f>VLOOKUP($A37,Questions!$A$2:$X$333,2,0)</f>
        <v>Does your employee onboarding and offboarding policy include training of employees on information security and data privacy?</v>
      </c>
      <c r="C37" s="21"/>
      <c r="D37" s="326"/>
      <c r="E37" s="167" t="str">
        <f>IF($C37='Auto Responses'!$J$3,VLOOKUP($A37,Questions!$A$2:$X$333,17,0)&amp;"",IF($C37='Auto Responses'!$J$4,VLOOKUP($A37,Questions!$A$2:$X$333,16,0)&amp;"",VLOOKUP($A37,Questions!$A$2:$X$333,15,0)&amp;""))</f>
        <v/>
      </c>
      <c r="F37" s="204" t="str">
        <f>VLOOKUP($A37,'Privacy Analyst Evaluation'!$A$46:$F$120,6,0)&amp;""</f>
        <v/>
      </c>
      <c r="G37" s="238" t="s">
        <v>1449</v>
      </c>
      <c r="H37" s="35"/>
    </row>
    <row r="38" spans="1:8" s="1" customFormat="1" ht="37.35" customHeight="1" thickBot="1" x14ac:dyDescent="0.25">
      <c r="A38" s="63" t="str">
        <f>VLOOKUP(LEFT($A39,4),'Auto Responses'!$N$4:$O$38,2,0)&amp;""</f>
        <v xml:space="preserve"> Privacy of Third Parties</v>
      </c>
      <c r="B38" s="22"/>
      <c r="C38" s="13" t="s">
        <v>1497</v>
      </c>
      <c r="D38" s="13" t="s">
        <v>72</v>
      </c>
      <c r="E38" s="31" t="s">
        <v>848</v>
      </c>
      <c r="F38" s="202" t="s">
        <v>849</v>
      </c>
      <c r="H38" s="35"/>
    </row>
    <row r="39" spans="1:8" s="1" customFormat="1" ht="114" x14ac:dyDescent="0.2">
      <c r="A39" s="19" t="s">
        <v>706</v>
      </c>
      <c r="B39" s="18" t="str">
        <f>VLOOKUP($A39,Questions!$A$2:$X$333,2,0)</f>
        <v>Do you have contractual agreements with third parties that require them to maintain standards and to comply with all regulatory requirements?*</v>
      </c>
      <c r="C39" s="21"/>
      <c r="D39" s="326"/>
      <c r="E39" s="167" t="str">
        <f>IF($C39='Auto Responses'!$J$3,VLOOKUP($A39,Questions!$A$2:$X$333,17,0)&amp;"",IF($C39='Auto Responses'!$J$4,VLOOKUP($A39,Questions!$A$2:$X$333,16,0)&amp;"",IF($C39='Auto Responses'!$J$5,VLOOKUP($A39,Questions!$A$2:$X$333,18,0)&amp;"",VLOOKUP($A39,Questions!$A$2:$X$333,15,0)&amp;"")))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39" s="204" t="str">
        <f>VLOOKUP($A39,'Privacy Analyst Evaluation'!$A$46:$F$120,6,0)&amp;""</f>
        <v/>
      </c>
      <c r="H39" s="35"/>
    </row>
    <row r="40" spans="1:8" s="1" customFormat="1" ht="129" thickBot="1" x14ac:dyDescent="0.25">
      <c r="A40" s="19" t="s">
        <v>708</v>
      </c>
      <c r="B40" s="18" t="str">
        <f>VLOOKUP($A40,Questions!$A$2:$X$333,2,0)</f>
        <v>Do you perform privacy impact assessments of third parties that collect, process, or have access to personal data to ensure they meet industry and regulatory standards and to mitigate harmful, unethical, or discriminatory impacts on data subjects?</v>
      </c>
      <c r="C40" s="21"/>
      <c r="D40" s="326"/>
      <c r="E40" s="167" t="str">
        <f>IF($C40='Auto Responses'!$J$3,VLOOKUP($A40,Questions!$A$2:$X$333,17,0)&amp;"",IF($C40='Auto Responses'!$J$4,VLOOKUP($A40,Questions!$A$2:$X$333,16,0)&amp;"",IF($C40='Auto Responses'!$J$5,VLOOKUP($A40,Questions!$A$2:$X$333,18,0)&amp;"",VLOOKUP($A40,Questions!$A$2:$X$333,15,0)&amp;"")))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40" s="204" t="str">
        <f>VLOOKUP($A40,'Privacy Analyst Evaluation'!$A$46:$F$120,6,0)&amp;""</f>
        <v/>
      </c>
      <c r="G40" s="238" t="s">
        <v>1449</v>
      </c>
      <c r="H40" s="35"/>
    </row>
    <row r="41" spans="1:8" s="1" customFormat="1" ht="37.35" customHeight="1" thickBot="1" x14ac:dyDescent="0.25">
      <c r="A41" s="63" t="str">
        <f>VLOOKUP(LEFT($A42,4),'Auto Responses'!$N$4:$O$38,2,0)&amp;""</f>
        <v xml:space="preserve"> Privacy Change Management</v>
      </c>
      <c r="B41" s="22"/>
      <c r="C41" s="13" t="s">
        <v>1497</v>
      </c>
      <c r="D41" s="13" t="s">
        <v>72</v>
      </c>
      <c r="E41" s="31" t="s">
        <v>848</v>
      </c>
      <c r="F41" s="202" t="s">
        <v>849</v>
      </c>
      <c r="H41" s="35"/>
    </row>
    <row r="42" spans="1:8" s="1" customFormat="1" ht="57" x14ac:dyDescent="0.2">
      <c r="A42" s="19" t="s">
        <v>709</v>
      </c>
      <c r="B42" s="18" t="str">
        <f>VLOOKUP($A42,Questions!$A$2:$X$333,2,0)</f>
        <v>Does your change management process include privacy review and approval?</v>
      </c>
      <c r="C42" s="21"/>
      <c r="D42" s="326"/>
      <c r="E42" s="167" t="str">
        <f>IF($C42='Auto Responses'!$J$3,VLOOKUP($A42,Questions!$A$2:$X$333,17,0)&amp;"",IF($C42='Auto Responses'!$J$4,VLOOKUP($A42,Questions!$A$2:$X$333,16,0)&amp;"",VLOOKUP($A42,Questions!$A$2:$X$333,15,0)&amp;""))</f>
        <v>The change management process minimizes disruption and maximizes benefits and should contain a privacy review process.</v>
      </c>
      <c r="F42" s="204" t="str">
        <f>VLOOKUP($A42,'Privacy Analyst Evaluation'!$A$46:$F$120,6,0)&amp;""</f>
        <v/>
      </c>
      <c r="H42" s="35"/>
    </row>
    <row r="43" spans="1:8" s="1" customFormat="1" ht="46.5" customHeight="1" thickBot="1" x14ac:dyDescent="0.25">
      <c r="A43" s="19" t="s">
        <v>711</v>
      </c>
      <c r="B43" s="18" t="str">
        <f>VLOOKUP($A43,Questions!$A$2:$X$333,2,0)</f>
        <v>Do you have policy and procedure, currently implemented, guiding how privacy risks are mitigated until they can be resolved?</v>
      </c>
      <c r="C43" s="21"/>
      <c r="D43" s="326"/>
      <c r="E43" s="167" t="str">
        <f>IF($C43='Auto Responses'!$J$3,VLOOKUP($A43,Questions!$A$2:$X$333,17,0)&amp;"",IF($C43='Auto Responses'!$J$4,VLOOKUP($A43,Questions!$A$2:$X$333,16,0)&amp;"",VLOOKUP($A43,Questions!$A$2:$X$333,15,0)&amp;""))</f>
        <v>Policy and procedure should include specific steps to take in the process of mitigating privacy risks.</v>
      </c>
      <c r="F43" s="204" t="str">
        <f>VLOOKUP($A43,'Privacy Analyst Evaluation'!$A$46:$F$120,6,0)&amp;""</f>
        <v/>
      </c>
      <c r="G43" s="238" t="s">
        <v>1449</v>
      </c>
      <c r="H43" s="35"/>
    </row>
    <row r="44" spans="1:8" s="1" customFormat="1" ht="37.35" customHeight="1" thickBot="1" x14ac:dyDescent="0.25">
      <c r="A44" s="63" t="str">
        <f>VLOOKUP(LEFT($A45,4),'Auto Responses'!$N$4:$O$38,2,0)&amp;""</f>
        <v xml:space="preserve"> Privacy of Sensitive Data</v>
      </c>
      <c r="B44" s="22"/>
      <c r="C44" s="13" t="s">
        <v>1497</v>
      </c>
      <c r="D44" s="13" t="s">
        <v>72</v>
      </c>
      <c r="E44" s="31" t="s">
        <v>848</v>
      </c>
      <c r="F44" s="202" t="s">
        <v>849</v>
      </c>
      <c r="H44" s="35"/>
    </row>
    <row r="45" spans="1:8" s="1" customFormat="1" ht="192.75" customHeight="1" x14ac:dyDescent="0.2">
      <c r="A45" s="19" t="s">
        <v>713</v>
      </c>
      <c r="B45" s="18" t="str">
        <f>VLOOKUP($A45,Questions!$A$2:$X$333,2,0)</f>
        <v>Do you collect, process, or store demographic information?*</v>
      </c>
      <c r="C45" s="21"/>
      <c r="D45" s="326"/>
      <c r="E45" s="167" t="str">
        <f>IF($C45='Auto Responses'!$J$3,VLOOKUP($A45,Questions!$A$2:$X$333,17,0)&amp;"",IF($C45='Auto Responses'!$J$4,VLOOKUP($A45,Questions!$A$2:$X$333,16,0)&amp;"",VLOOKUP($A45,Questions!$A$2:$X$333,15,0)&amp;""))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45" s="204" t="str">
        <f>VLOOKUP($A45,'Privacy Analyst Evaluation'!$A$46:$F$120,6,0)&amp;""</f>
        <v/>
      </c>
      <c r="H45" s="35"/>
    </row>
    <row r="46" spans="1:8" s="1" customFormat="1" ht="213.75" x14ac:dyDescent="0.2">
      <c r="A46" s="19" t="s">
        <v>715</v>
      </c>
      <c r="B46" s="18" t="str">
        <f>VLOOKUP($A46,Questions!$A$2:$X$333,2,0)</f>
        <v>Do you capture or create genetic, biometric, or behaviometric information (e.g., facial recognition or fingerprints)?*</v>
      </c>
      <c r="C46" s="21"/>
      <c r="D46" s="326"/>
      <c r="E46" s="167" t="str">
        <f>IF($C46='Auto Responses'!$J$3,VLOOKUP($A46,Questions!$A$2:$X$333,17,0)&amp;"",IF($C46='Auto Responses'!$J$4,VLOOKUP($A46,Questions!$A$2:$X$333,16,0)&amp;"",VLOOKUP($A46,Questions!$A$2:$X$333,15,0)&amp;""))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46" s="204" t="str">
        <f>VLOOKUP($A46,'Privacy Analyst Evaluation'!$A$46:$F$120,6,0)&amp;""</f>
        <v/>
      </c>
      <c r="H46" s="35"/>
    </row>
    <row r="47" spans="1:8" s="1" customFormat="1" ht="142.5" x14ac:dyDescent="0.2">
      <c r="A47" s="19" t="s">
        <v>717</v>
      </c>
      <c r="B47" s="18" t="str">
        <f>VLOOKUP($A47,Questions!$A$2:$X$333,2,0)</f>
        <v>Do you combine institutional data (including "de-identified," "anonymized," or otherwise masked data) with personal data from any other sources?*</v>
      </c>
      <c r="C47" s="21"/>
      <c r="D47" s="326"/>
      <c r="E47" s="167" t="str">
        <f>IF($C47='Auto Responses'!$J$3,VLOOKUP($A47,Questions!$A$2:$X$333,17,0)&amp;"",IF($C47='Auto Responses'!$J$4,VLOOKUP($A47,Questions!$A$2:$X$333,16,0)&amp;"",VLOOKUP($A47,Questions!$A$2:$X$333,15,0)&amp;""))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204" t="str">
        <f>VLOOKUP($A47,'Privacy Analyst Evaluation'!$A$46:$F$120,6,0)&amp;""</f>
        <v/>
      </c>
      <c r="H47" s="35"/>
    </row>
    <row r="48" spans="1:8" s="1" customFormat="1" ht="114" x14ac:dyDescent="0.2">
      <c r="A48" s="19" t="s">
        <v>718</v>
      </c>
      <c r="B48" s="18" t="str">
        <f>VLOOKUP($A48,Questions!$A$2:$X$333,2,0)</f>
        <v>Is institutional data coming into or going out of the United States at any point during collection, processing, storage, or archiving?</v>
      </c>
      <c r="C48" s="21"/>
      <c r="D48" s="326"/>
      <c r="E48" s="167" t="str">
        <f>IF($C48='Auto Responses'!$J$3,VLOOKUP($A48,Questions!$A$2:$X$333,17,0)&amp;"",IF($C48='Auto Responses'!$J$4,VLOOKUP($A48,Questions!$A$2:$X$333,16,0)&amp;"",VLOOKUP($A48,Questions!$A$2:$X$333,15,0)&amp;""))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48" s="204" t="str">
        <f>VLOOKUP($A48,'Privacy Analyst Evaluation'!$A$46:$F$120,6,0)&amp;""</f>
        <v/>
      </c>
      <c r="H48" s="35"/>
    </row>
    <row r="49" spans="1:8" s="1" customFormat="1" ht="85.5" x14ac:dyDescent="0.2">
      <c r="A49" s="19" t="s">
        <v>719</v>
      </c>
      <c r="B49" s="18" t="str">
        <f>VLOOKUP($A49,Questions!$A$2:$X$333,2,0)</f>
        <v>Do you capture device information (e.g., IP address, MAC address)?</v>
      </c>
      <c r="C49" s="21"/>
      <c r="D49" s="326"/>
      <c r="E49" s="167" t="str">
        <f>IF($C49='Auto Responses'!$J$3,VLOOKUP($A49,Questions!$A$2:$X$333,17,0)&amp;"",IF($C49='Auto Responses'!$J$4,VLOOKUP($A49,Questions!$A$2:$X$333,16,0)&amp;"",VLOOKUP($A49,Questions!$A$2:$X$333,15,0)&amp;""))</f>
        <v>Device information can be captured for a variety of reasons, from analytics to marketing to network management and security. It is important to know the details in order to be clear on the privacy implications.</v>
      </c>
      <c r="F49" s="204" t="str">
        <f>VLOOKUP($A49,'Privacy Analyst Evaluation'!$A$46:$F$120,6,0)&amp;""</f>
        <v/>
      </c>
      <c r="H49" s="35"/>
    </row>
    <row r="50" spans="1:8" s="1" customFormat="1" ht="49.5" customHeight="1" x14ac:dyDescent="0.2">
      <c r="A50" s="19" t="s">
        <v>720</v>
      </c>
      <c r="B50" s="18" t="str">
        <f>VLOOKUP($A50,Questions!$A$2:$X$333,2,0)</f>
        <v>Does any part of this service/project involve a web/app tracking component (e.g., use of web-tracking pixels, cookies)?</v>
      </c>
      <c r="C50" s="21"/>
      <c r="D50" s="326"/>
      <c r="E50" s="167" t="str">
        <f>IF($C50='Auto Responses'!$J$3,VLOOKUP($A50,Questions!$A$2:$X$333,17,0)&amp;"",IF($C50='Auto Responses'!$J$4,VLOOKUP($A50,Questions!$A$2:$X$333,16,0)&amp;"",VLOOKUP($A50,Questions!$A$2:$X$333,15,0)&amp;""))</f>
        <v>Web tracking can be used to identify users via their IP address, login information, browser information, etc.</v>
      </c>
      <c r="F50" s="204" t="str">
        <f>VLOOKUP($A50,'Privacy Analyst Evaluation'!$A$46:$F$120,6,0)&amp;""</f>
        <v/>
      </c>
      <c r="H50" s="35"/>
    </row>
    <row r="51" spans="1:8" s="1" customFormat="1" ht="44.25" customHeight="1" x14ac:dyDescent="0.2">
      <c r="A51" s="19" t="s">
        <v>721</v>
      </c>
      <c r="B51" s="18" t="str">
        <f>VLOOKUP($A51,Questions!$A$2:$X$333,2,0)</f>
        <v>Does your staff (or a third party) have access to institutional data (e.g., financial, PHI, or other sensitive information) through any means?</v>
      </c>
      <c r="C51" s="21"/>
      <c r="D51" s="326"/>
      <c r="E51" s="167" t="str">
        <f>IF($C51='Auto Responses'!$J$3,VLOOKUP($A51,Questions!$A$2:$X$333,17,0)&amp;"",IF($C51='Auto Responses'!$J$4,VLOOKUP($A51,Questions!$A$2:$X$333,16,0)&amp;"",VLOOKUP($A51,Questions!$A$2:$X$333,15,0)&amp;""))</f>
        <v>Accessing institutional data may be necessary for legitimate business purposes.</v>
      </c>
      <c r="F51" s="204" t="str">
        <f>VLOOKUP($A51,'Privacy Analyst Evaluation'!$A$46:$F$120,6,0)&amp;""</f>
        <v/>
      </c>
      <c r="H51" s="35"/>
    </row>
    <row r="52" spans="1:8" s="1" customFormat="1" ht="52.5" customHeight="1" thickBot="1" x14ac:dyDescent="0.25">
      <c r="A52" s="19" t="s">
        <v>723</v>
      </c>
      <c r="B52" s="18" t="str">
        <f>VLOOKUP($A52,Questions!$A$2:$X$333,2,0)</f>
        <v>Will you handle personal data in a manner compliant with all relevant laws, regulations, and applicable institution policies?</v>
      </c>
      <c r="C52" s="21"/>
      <c r="D52" s="326"/>
      <c r="E52" s="167" t="str">
        <f>IF($C52='Auto Responses'!$J$3,VLOOKUP($A52,Questions!$A$2:$X$333,17,0)&amp;"",IF($C52='Auto Responses'!$J$4,VLOOKUP($A52,Questions!$A$2:$X$333,16,0)&amp;"",VLOOKUP($A52,Questions!$A$2:$X$333,15,0)&amp;""))</f>
        <v/>
      </c>
      <c r="F52" s="204" t="str">
        <f>VLOOKUP($A52,'Privacy Analyst Evaluation'!$A$46:$F$120,6,0)&amp;""</f>
        <v/>
      </c>
      <c r="G52" s="238" t="s">
        <v>1449</v>
      </c>
      <c r="H52" s="35"/>
    </row>
    <row r="53" spans="1:8" s="1" customFormat="1" ht="37.35" customHeight="1" thickBot="1" x14ac:dyDescent="0.25">
      <c r="A53" s="63" t="str">
        <f>VLOOKUP(LEFT($A54,4),'Auto Responses'!$N$4:$O$38,2,0)&amp;""</f>
        <v xml:space="preserve"> Privacy Policies and Procedures</v>
      </c>
      <c r="B53" s="22"/>
      <c r="C53" s="13" t="s">
        <v>1497</v>
      </c>
      <c r="D53" s="13" t="s">
        <v>72</v>
      </c>
      <c r="E53" s="31" t="s">
        <v>848</v>
      </c>
      <c r="F53" s="202" t="s">
        <v>849</v>
      </c>
      <c r="H53" s="35"/>
    </row>
    <row r="54" spans="1:8" s="1" customFormat="1" ht="26.25" customHeight="1" x14ac:dyDescent="0.2">
      <c r="A54" s="19" t="s">
        <v>724</v>
      </c>
      <c r="B54" s="18" t="str">
        <f>VLOOKUP($A54,Questions!$A$2:$X$333,2,0)</f>
        <v>Do you have a documented privacy management process?</v>
      </c>
      <c r="C54" s="21"/>
      <c r="D54" s="326"/>
      <c r="E54" s="167" t="str">
        <f>IF($C54='Auto Responses'!$J$3,VLOOKUP($A54,Questions!$A$2:$X$333,17,0)&amp;"",IF($C54='Auto Responses'!$J$4,VLOOKUP($A54,Questions!$A$2:$X$333,16,0)&amp;"",VLOOKUP($A54,Questions!$A$2:$X$333,15,0)&amp;""))</f>
        <v/>
      </c>
      <c r="F54" s="204" t="str">
        <f>VLOOKUP($A54,'Privacy Analyst Evaluation'!$A$46:$F$120,6,0)&amp;""</f>
        <v/>
      </c>
      <c r="H54" s="35"/>
    </row>
    <row r="55" spans="1:8" s="1" customFormat="1" ht="40.5" customHeight="1" x14ac:dyDescent="0.2">
      <c r="A55" s="19" t="s">
        <v>727</v>
      </c>
      <c r="B55" s="18" t="str">
        <f>VLOOKUP($A55,Questions!$A$2:$X$333,2,0)</f>
        <v>Are privacy principles designed into the product lifecycle (i.e., privacy-by-design)?</v>
      </c>
      <c r="C55" s="21"/>
      <c r="D55" s="326"/>
      <c r="E55" s="167" t="str">
        <f>IF($C55='Auto Responses'!$J$3,VLOOKUP($A55,Questions!$A$2:$X$333,17,0)&amp;"",IF($C55='Auto Responses'!$J$4,VLOOKUP($A55,Questions!$A$2:$X$333,16,0)&amp;"",VLOOKUP($A55,Questions!$A$2:$X$333,15,0)&amp;""))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55" s="204" t="str">
        <f>VLOOKUP($A55,'Privacy Analyst Evaluation'!$A$46:$F$120,6,0)&amp;""</f>
        <v/>
      </c>
      <c r="H55" s="35"/>
    </row>
    <row r="56" spans="1:8" s="1" customFormat="1" ht="33" customHeight="1" x14ac:dyDescent="0.2">
      <c r="A56" s="19" t="s">
        <v>730</v>
      </c>
      <c r="B56" s="18" t="str">
        <f>VLOOKUP($A56,Questions!$A$2:$X$333,2,0)</f>
        <v>Will you comply with applicable breach notification laws?</v>
      </c>
      <c r="C56" s="21"/>
      <c r="D56" s="326"/>
      <c r="E56" s="167" t="str">
        <f>IF($C56='Auto Responses'!$J$3,VLOOKUP($A56,Questions!$A$2:$X$333,17,0)&amp;"",IF($C56='Auto Responses'!$J$4,VLOOKUP($A56,Questions!$A$2:$X$333,16,0)&amp;"",VLOOKUP($A56,Questions!$A$2:$X$333,15,0)&amp;""))</f>
        <v/>
      </c>
      <c r="F56" s="204" t="str">
        <f>VLOOKUP($A56,'Privacy Analyst Evaluation'!$A$46:$F$120,6,0)&amp;""</f>
        <v/>
      </c>
      <c r="H56" s="35"/>
    </row>
    <row r="57" spans="1:8" s="1" customFormat="1" ht="39.75" customHeight="1" x14ac:dyDescent="0.2">
      <c r="A57" s="19" t="s">
        <v>732</v>
      </c>
      <c r="B57" s="18" t="str">
        <f>VLOOKUP($A57,Questions!$A$2:$X$333,2,0)</f>
        <v>Will you comply with the institution's policies regarding user privacy and data protection?</v>
      </c>
      <c r="C57" s="21"/>
      <c r="D57" s="326"/>
      <c r="E57" s="167" t="str">
        <f>IF($C57='Auto Responses'!$J$3,VLOOKUP($A57,Questions!$A$2:$X$333,17,0)&amp;"",IF($C57='Auto Responses'!$J$4,VLOOKUP($A57,Questions!$A$2:$X$333,16,0)&amp;"",VLOOKUP($A57,Questions!$A$2:$X$333,15,0)&amp;""))</f>
        <v>These policies may include specific user consent practices, data classification standards, and handling of sensitive information.</v>
      </c>
      <c r="F57" s="204" t="str">
        <f>VLOOKUP($A57,'Privacy Analyst Evaluation'!$A$46:$F$120,6,0)&amp;""</f>
        <v/>
      </c>
      <c r="H57" s="35"/>
    </row>
    <row r="58" spans="1:8" s="1" customFormat="1" ht="42.75" x14ac:dyDescent="0.2">
      <c r="A58" s="19" t="s">
        <v>734</v>
      </c>
      <c r="B58" s="18" t="str">
        <f>VLOOKUP($A58,Questions!$A$2:$X$333,2,0)</f>
        <v>Is your company subject to the laws and regulations of the institution's geographic region?</v>
      </c>
      <c r="C58" s="21"/>
      <c r="D58" s="326"/>
      <c r="E58" s="167" t="str">
        <f>IF($C58='Auto Responses'!$J$3,VLOOKUP($A58,Questions!$A$2:$X$333,17,0)&amp;"",IF($C58='Auto Responses'!$J$4,VLOOKUP($A58,Questions!$A$2:$X$333,16,0)&amp;"",VLOOKUP($A58,Questions!$A$2:$X$333,15,0)&amp;""))</f>
        <v>Indicates whether your organization is legally bound by state, federal, or local laws where the institution operates.</v>
      </c>
      <c r="F58" s="204" t="str">
        <f>VLOOKUP($A58,'Privacy Analyst Evaluation'!$A$46:$F$120,6,0)&amp;""</f>
        <v/>
      </c>
      <c r="H58" s="35"/>
    </row>
    <row r="59" spans="1:8" s="1" customFormat="1" ht="99.75" x14ac:dyDescent="0.2">
      <c r="A59" s="19" t="s">
        <v>736</v>
      </c>
      <c r="B59" s="18" t="str">
        <f>VLOOKUP($A59,Questions!$A$2:$X$333,2,0)</f>
        <v>Do you have a privacy awareness/training program?*</v>
      </c>
      <c r="C59" s="21"/>
      <c r="D59" s="326"/>
      <c r="E59" s="167" t="str">
        <f>IF($C59='Auto Responses'!$J$3,VLOOKUP($A59,Questions!$A$2:$X$333,17,0)&amp;"",IF($C59='Auto Responses'!$J$4,VLOOKUP($A59,Questions!$A$2:$X$333,16,0)&amp;"",VLOOKUP($A59,Questions!$A$2:$X$333,15,0)&amp;""))</f>
        <v>Privacy awareness/training refers to the ongoing education provided to individuals who handle sensitive data to ensure they understand privacy obligations, data protection principles, and regulatory requirements (e.g., FERPA, HIPAA, GDPR).</v>
      </c>
      <c r="F59" s="204" t="str">
        <f>VLOOKUP($A59,'Privacy Analyst Evaluation'!$A$46:$F$120,6,0)&amp;""</f>
        <v/>
      </c>
      <c r="H59" s="35"/>
    </row>
    <row r="60" spans="1:8" s="1" customFormat="1" ht="29.25" customHeight="1" x14ac:dyDescent="0.2">
      <c r="A60" s="19" t="s">
        <v>737</v>
      </c>
      <c r="B60" s="18" t="str">
        <f>VLOOKUP($A60,Questions!$A$2:$X$333,2,0)</f>
        <v>Is privacy awareness training mandatory for all employees?</v>
      </c>
      <c r="C60" s="21"/>
      <c r="D60" s="326"/>
      <c r="E60" s="167" t="str">
        <f>IF($C60='Auto Responses'!$J$3,VLOOKUP($A60,Questions!$A$2:$X$333,17,0)&amp;"",IF($C60='Auto Responses'!$J$4,VLOOKUP($A60,Questions!$A$2:$X$333,16,0)&amp;"",VLOOKUP($A60,Questions!$A$2:$X$333,15,0)&amp;""))</f>
        <v/>
      </c>
      <c r="F60" s="204" t="str">
        <f>VLOOKUP($A60,'Privacy Analyst Evaluation'!$A$46:$F$120,6,0)&amp;""</f>
        <v/>
      </c>
      <c r="H60" s="35"/>
    </row>
    <row r="61" spans="1:8" s="1" customFormat="1" ht="39.75" customHeight="1" x14ac:dyDescent="0.2">
      <c r="A61" s="19" t="s">
        <v>740</v>
      </c>
      <c r="B61" s="18" t="str">
        <f>VLOOKUP($A61,Questions!$A$2:$X$333,2,0)</f>
        <v>Is AI privacy and ethics awareness/training required for all employees who work with AI?</v>
      </c>
      <c r="C61" s="21"/>
      <c r="D61" s="326"/>
      <c r="E61" s="167" t="str">
        <f>IF($C61='Auto Responses'!$J$3,VLOOKUP($A61,Questions!$A$2:$X$333,17,0)&amp;"",IF($C61='Auto Responses'!$J$4,VLOOKUP($A61,Questions!$A$2:$X$333,16,0)&amp;"",IF($C61='Auto Responses'!$J$5,VLOOKUP($A61,Questions!$A$2:$X$333,18,0)&amp;"",VLOOKUP($A61,Questions!$A$2:$X$333,15,0)&amp;"")))</f>
        <v/>
      </c>
      <c r="F61" s="204" t="str">
        <f>VLOOKUP($A61,'Privacy Analyst Evaluation'!$A$46:$F$120,6,0)&amp;""</f>
        <v/>
      </c>
      <c r="H61" s="35"/>
    </row>
    <row r="62" spans="1:8" s="1" customFormat="1" ht="99.75" x14ac:dyDescent="0.2">
      <c r="A62" s="19" t="s">
        <v>743</v>
      </c>
      <c r="B62" s="18" t="str">
        <f>VLOOKUP($A62,Questions!$A$2:$X$333,2,0)</f>
        <v>Do you have any decision-making processes that are completely automated (i.e., there is no human involvement)?</v>
      </c>
      <c r="C62" s="21"/>
      <c r="D62" s="326"/>
      <c r="E62" s="167" t="str">
        <f>IF($C62='Auto Responses'!$J$3,VLOOKUP($A62,Questions!$A$2:$X$333,17,0)&amp;"",IF($C62='Auto Responses'!$J$4,VLOOKUP($A62,Questions!$A$2:$X$333,16,0)&amp;"",VLOOKUP($A62,Questions!$A$2:$X$333,15,0)&amp;""))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204" t="str">
        <f>VLOOKUP($A62,'Privacy Analyst Evaluation'!$A$46:$F$120,6,0)&amp;""</f>
        <v/>
      </c>
      <c r="H62" s="35"/>
    </row>
    <row r="63" spans="1:8" s="1" customFormat="1" ht="54" customHeight="1" x14ac:dyDescent="0.2">
      <c r="A63" s="19" t="s">
        <v>744</v>
      </c>
      <c r="B63" s="18" t="str">
        <f>VLOOKUP($A63,Questions!$A$2:$X$333,2,0)</f>
        <v>Do you have a documented process for managing automated processing, including validations, monitoring, and data subject requests?</v>
      </c>
      <c r="C63" s="21"/>
      <c r="D63" s="326"/>
      <c r="E63" s="167" t="str">
        <f>IF($C63='Auto Responses'!$J$3,VLOOKUP($A63,Questions!$A$2:$X$333,17,0)&amp;"",IF($C63='Auto Responses'!$J$4,VLOOKUP($A63,Questions!$A$2:$X$333,16,0)&amp;"",IF($C63='Auto Responses'!$J$5,VLOOKUP($A63,Questions!$A$2:$X$333,18,0)&amp;"",VLOOKUP($A63,Questions!$A$2:$X$333,15,0)&amp;"")))</f>
        <v/>
      </c>
      <c r="F63" s="204" t="str">
        <f>VLOOKUP($A63,'Privacy Analyst Evaluation'!$A$46:$F$120,6,0)&amp;""</f>
        <v/>
      </c>
      <c r="H63" s="35"/>
    </row>
    <row r="64" spans="1:8" s="1" customFormat="1" ht="40.5" customHeight="1" x14ac:dyDescent="0.2">
      <c r="A64" s="19" t="s">
        <v>746</v>
      </c>
      <c r="B64" s="18" t="str">
        <f>VLOOKUP($A64,Questions!$A$2:$X$333,2,0)</f>
        <v>Do you have a documented policy for sharing information with law enforcement?</v>
      </c>
      <c r="C64" s="21"/>
      <c r="D64" s="326"/>
      <c r="E64" s="167" t="str">
        <f>IF($C64='Auto Responses'!$J$3,VLOOKUP($A64,Questions!$A$2:$X$333,17,0)&amp;"",IF($C64='Auto Responses'!$J$4,VLOOKUP($A64,Questions!$A$2:$X$333,16,0)&amp;"",VLOOKUP($A64,Questions!$A$2:$X$333,15,0)&amp;""))</f>
        <v/>
      </c>
      <c r="F64" s="204" t="str">
        <f>VLOOKUP($A64,'Privacy Analyst Evaluation'!$A$46:$F$120,6,0)&amp;""</f>
        <v/>
      </c>
      <c r="H64" s="35"/>
    </row>
    <row r="65" spans="1:8" s="1" customFormat="1" ht="39.75" customHeight="1" x14ac:dyDescent="0.2">
      <c r="A65" s="19" t="s">
        <v>749</v>
      </c>
      <c r="B65" s="18" t="str">
        <f>VLOOKUP($A65,Questions!$A$2:$X$333,2,0)</f>
        <v>Do you share any institutional data with law enforcement without a valid warrant or subpoena?*</v>
      </c>
      <c r="C65" s="21"/>
      <c r="D65" s="326"/>
      <c r="E65" s="167" t="str">
        <f>IF($C65='Auto Responses'!$J$3,VLOOKUP($A65,Questions!$A$2:$X$333,17,0)&amp;"",IF($C65='Auto Responses'!$J$4,VLOOKUP($A65,Questions!$A$2:$X$333,16,0)&amp;"",VLOOKUP($A65,Questions!$A$2:$X$333,15,0)&amp;""))</f>
        <v/>
      </c>
      <c r="F65" s="204" t="str">
        <f>VLOOKUP($A65,'Privacy Analyst Evaluation'!$A$46:$F$120,6,0)&amp;""</f>
        <v/>
      </c>
      <c r="H65" s="35"/>
    </row>
    <row r="66" spans="1:8" s="1" customFormat="1" ht="26.25" customHeight="1" thickBot="1" x14ac:dyDescent="0.25">
      <c r="A66" s="19" t="s">
        <v>750</v>
      </c>
      <c r="B66" s="18" t="str">
        <f>VLOOKUP($A66,Questions!$A$2:$X$333,2,0)</f>
        <v>Does your incident response team include a privacy analyst/officer?</v>
      </c>
      <c r="C66" s="21"/>
      <c r="D66" s="326"/>
      <c r="E66" s="167" t="str">
        <f>IF($C66='Auto Responses'!$J$3,VLOOKUP($A66,Questions!$A$2:$X$333,17,0)&amp;"",IF($C66='Auto Responses'!$J$4,VLOOKUP($A66,Questions!$A$2:$X$333,16,0)&amp;"",VLOOKUP($A66,Questions!$A$2:$X$333,15,0)&amp;""))</f>
        <v>Provide an overview of your incident response team membership and its charge, highlighting the privacy analyst/officer.</v>
      </c>
      <c r="F66" s="204" t="str">
        <f>VLOOKUP($A66,'Privacy Analyst Evaluation'!$A$46:$F$120,6,0)&amp;""</f>
        <v/>
      </c>
      <c r="G66" s="238" t="s">
        <v>1449</v>
      </c>
      <c r="H66" s="35"/>
    </row>
    <row r="67" spans="1:8" s="1" customFormat="1" ht="37.35" customHeight="1" thickBot="1" x14ac:dyDescent="0.25">
      <c r="A67" s="63" t="str">
        <f>VLOOKUP(LEFT($A68,4),'Auto Responses'!$N$4:$O$38,2,0)&amp;""</f>
        <v xml:space="preserve"> International Privacy</v>
      </c>
      <c r="B67" s="22"/>
      <c r="C67" s="13" t="s">
        <v>1497</v>
      </c>
      <c r="D67" s="13" t="s">
        <v>72</v>
      </c>
      <c r="E67" s="31" t="s">
        <v>848</v>
      </c>
      <c r="F67" s="202" t="s">
        <v>849</v>
      </c>
      <c r="H67" s="35"/>
    </row>
    <row r="68" spans="1:8" s="1" customFormat="1" ht="42.75" customHeight="1" x14ac:dyDescent="0.2">
      <c r="A68" s="19" t="s">
        <v>752</v>
      </c>
      <c r="B68" s="18" t="str">
        <f>VLOOKUP($A68,Questions!$A$2:$X$333,2,0)</f>
        <v>Will data be collected from or processed in or stored in the European Economic Area (EEA)?</v>
      </c>
      <c r="C68" s="21"/>
      <c r="D68" s="326"/>
      <c r="E68" s="167" t="str">
        <f>IF($C68='Auto Responses'!$J$3,VLOOKUP($A68,Questions!$A$2:$X$333,17,0)&amp;"",IF($C68='Auto Responses'!$J$4,VLOOKUP($A68,Questions!$A$2:$X$333,16,0)&amp;"",VLOOKUP($A68,Questions!$A$2:$X$333,15,0)&amp;""))</f>
        <v>See GDPR Chapter 1, Art. 4, for definitions.</v>
      </c>
      <c r="F68" s="204" t="str">
        <f>VLOOKUP($A68,'Privacy Analyst Evaluation'!$A$46:$F$120,6,0)&amp;""</f>
        <v/>
      </c>
      <c r="H68" s="35"/>
    </row>
    <row r="69" spans="1:8" s="1" customFormat="1" ht="28.5" customHeight="1" x14ac:dyDescent="0.2">
      <c r="A69" s="19" t="s">
        <v>755</v>
      </c>
      <c r="B69" s="18" t="str">
        <f>VLOOKUP($A69,Questions!$A$2:$X$333,2,0)</f>
        <v>Do you have a data protection officer (DPO)?</v>
      </c>
      <c r="C69" s="21"/>
      <c r="D69" s="326"/>
      <c r="E69" s="167" t="str">
        <f>IF($C69='Auto Responses'!$J$3,VLOOKUP($A69,Questions!$A$2:$X$333,17,0)&amp;"",IF($C69='Auto Responses'!$J$4,VLOOKUP($A69,Questions!$A$2:$X$333,16,0)&amp;"",VLOOKUP($A69,Questions!$A$2:$X$333,15,0)&amp;""))</f>
        <v>See GDPR Chapter 4, Section 4, for DPO information.</v>
      </c>
      <c r="F69" s="204" t="str">
        <f>VLOOKUP($A69,'Privacy Analyst Evaluation'!$A$46:$F$120,6,0)&amp;""</f>
        <v/>
      </c>
      <c r="H69" s="35"/>
    </row>
    <row r="70" spans="1:8" s="1" customFormat="1" ht="38.25" customHeight="1" x14ac:dyDescent="0.2">
      <c r="A70" s="19" t="s">
        <v>757</v>
      </c>
      <c r="B70" s="18" t="str">
        <f>VLOOKUP($A70,Questions!$A$2:$X$333,2,0)</f>
        <v>Will you sign appropriate GDPR Standard Contractual Clauses (SCCs) with the institution?</v>
      </c>
      <c r="C70" s="21"/>
      <c r="D70" s="326"/>
      <c r="E70" s="167" t="str">
        <f>IF($C70='Auto Responses'!$J$3,VLOOKUP($A70,Questions!$A$2:$X$333,17,0)&amp;"",IF($C70='Auto Responses'!$J$4,VLOOKUP($A70,Questions!$A$2:$X$333,16,0)&amp;"",VLOOKUP($A70,Questions!$A$2:$X$333,15,0)&amp;""))</f>
        <v>See GDPR Chapter 5, Art. 46, for SCC information.</v>
      </c>
      <c r="F70" s="204" t="str">
        <f>VLOOKUP($A70,'Privacy Analyst Evaluation'!$A$46:$F$120,6,0)&amp;""</f>
        <v/>
      </c>
      <c r="H70" s="35"/>
    </row>
    <row r="71" spans="1:8" s="1" customFormat="1" ht="25.5" customHeight="1" x14ac:dyDescent="0.2">
      <c r="A71" s="19" t="s">
        <v>759</v>
      </c>
      <c r="B71" s="18" t="str">
        <f>VLOOKUP($A71,Questions!$A$2:$X$333,2,0)</f>
        <v>Will data be collected from or processed in or stored in China?</v>
      </c>
      <c r="C71" s="21"/>
      <c r="D71" s="326"/>
      <c r="E71" s="167" t="str">
        <f>IF($C71='Auto Responses'!$J$3,VLOOKUP($A71,Questions!$A$2:$X$333,17,0)&amp;"",IF($C71='Auto Responses'!$J$4,VLOOKUP($A71,Questions!$A$2:$X$333,16,0)&amp;"",VLOOKUP($A71,Questions!$A$2:$X$333,15,0)&amp;""))</f>
        <v>See PIPL Chapter 1 for definitions.</v>
      </c>
      <c r="F71" s="204" t="str">
        <f>VLOOKUP($A71,'Privacy Analyst Evaluation'!$A$46:$F$120,6,0)&amp;""</f>
        <v/>
      </c>
      <c r="H71" s="35"/>
    </row>
    <row r="72" spans="1:8" s="1" customFormat="1" ht="43.5" customHeight="1" thickBot="1" x14ac:dyDescent="0.25">
      <c r="A72" s="19" t="s">
        <v>762</v>
      </c>
      <c r="B72" s="18" t="str">
        <f>VLOOKUP($A72,Questions!$A$2:$X$333,2,0)</f>
        <v>Do you comply with PIPL security, privacy, and data localization requirements?</v>
      </c>
      <c r="C72" s="21"/>
      <c r="D72" s="326"/>
      <c r="E72" s="167" t="str">
        <f>IF($C72='Auto Responses'!$J$3,VLOOKUP($A72,Questions!$A$2:$X$333,17,0)&amp;"",IF($C72='Auto Responses'!$J$4,VLOOKUP($A72,Questions!$A$2:$X$333,16,0)&amp;"",IF($C72='Auto Responses'!$J$5,VLOOKUP($A72,Questions!$A$2:$X$333,18,0)&amp;"",VLOOKUP($A72,Questions!$A$2:$X$333,15,0)&amp;"")))</f>
        <v>See PIPL Chapter 5 for requirements.</v>
      </c>
      <c r="F72" s="204" t="str">
        <f>VLOOKUP($A72,'Privacy Analyst Evaluation'!$A$46:$F$120,6,0)&amp;""</f>
        <v/>
      </c>
      <c r="G72" s="238" t="s">
        <v>1449</v>
      </c>
      <c r="H72" s="35"/>
    </row>
    <row r="73" spans="1:8" s="1" customFormat="1" ht="37.35" customHeight="1" thickBot="1" x14ac:dyDescent="0.25">
      <c r="A73" s="63" t="str">
        <f>VLOOKUP(LEFT($A74,4),'Auto Responses'!$N$4:$O$38,2,0)&amp;""</f>
        <v xml:space="preserve"> Data Privacy</v>
      </c>
      <c r="B73" s="22"/>
      <c r="C73" s="13" t="s">
        <v>1497</v>
      </c>
      <c r="D73" s="13" t="s">
        <v>72</v>
      </c>
      <c r="E73" s="31" t="s">
        <v>848</v>
      </c>
      <c r="F73" s="202" t="s">
        <v>849</v>
      </c>
      <c r="H73" s="35"/>
    </row>
    <row r="74" spans="1:8" s="1" customFormat="1" ht="39.75" customHeight="1" x14ac:dyDescent="0.2">
      <c r="A74" s="19" t="s">
        <v>1035</v>
      </c>
      <c r="B74" s="18" t="str">
        <f>VLOOKUP($A74,Questions!$A$2:$X$333,2,0)</f>
        <v>Have you performed a Data Privacy Impact Assessment for the solution/project?</v>
      </c>
      <c r="C74" s="21"/>
      <c r="D74" s="326"/>
      <c r="E74" s="167" t="str">
        <f>IF($C74='Auto Responses'!$J$3,VLOOKUP($A74,Questions!$A$2:$X$333,17,0)&amp;"",IF($C74='Auto Responses'!$J$4,VLOOKUP($A74,Questions!$A$2:$X$333,16,0)&amp;"",VLOOKUP($A74,Questions!$A$2:$X$333,15,0)&amp;""))</f>
        <v/>
      </c>
      <c r="F74" s="204" t="str">
        <f>VLOOKUP($A74,'Privacy Analyst Evaluation'!$A$46:$F$120,6,0)&amp;""</f>
        <v/>
      </c>
      <c r="H74" s="35"/>
    </row>
    <row r="75" spans="1:8" s="1" customFormat="1" ht="54.75" customHeight="1" x14ac:dyDescent="0.2">
      <c r="A75" s="19" t="s">
        <v>1036</v>
      </c>
      <c r="B75" s="18" t="str">
        <f>VLOOKUP($A75,Questions!$A$2:$X$333,2,0)</f>
        <v>Do you provide an end-user privacy notice about privacy policies and procedures that identify the purpose(s) for which personal information is collected, used, retained, and disclosed?</v>
      </c>
      <c r="C75" s="21"/>
      <c r="D75" s="326"/>
      <c r="E75" s="167" t="str">
        <f>IF($C75='Auto Responses'!$J$3,VLOOKUP($A75,Questions!$A$2:$X$333,17,0)&amp;"",IF($C75='Auto Responses'!$J$4,VLOOKUP($A75,Questions!$A$2:$X$333,16,0)&amp;"",VLOOKUP($A75,Questions!$A$2:$X$333,15,0)&amp;""))</f>
        <v/>
      </c>
      <c r="F75" s="204" t="str">
        <f>VLOOKUP($A75,'Privacy Analyst Evaluation'!$A$46:$F$120,6,0)&amp;""</f>
        <v/>
      </c>
      <c r="H75" s="35"/>
    </row>
    <row r="76" spans="1:8" s="1" customFormat="1" ht="54" customHeight="1" x14ac:dyDescent="0.2">
      <c r="A76" s="19" t="s">
        <v>1037</v>
      </c>
      <c r="B76" s="18" t="str">
        <f>VLOOKUP($A76,Questions!$A$2:$X$333,2,0)</f>
        <v>Do you describe the choices available to the individual and obtain implicit or explicit consent with respect to the collection, use, and disclosure of personal information?</v>
      </c>
      <c r="C76" s="21"/>
      <c r="D76" s="326"/>
      <c r="E76" s="167" t="str">
        <f>IF($C76='Auto Responses'!$J$3,VLOOKUP($A76,Questions!$A$2:$X$333,17,0)&amp;"",IF($C76='Auto Responses'!$J$4,VLOOKUP($A76,Questions!$A$2:$X$333,16,0)&amp;"",IF($C76='Auto Responses'!$J$5,VLOOKUP($A76,Questions!$A$2:$X$333,18,0)&amp;"",VLOOKUP($A76,Questions!$A$2:$X$333,15,0)&amp;"")))</f>
        <v/>
      </c>
      <c r="F76" s="204" t="str">
        <f>VLOOKUP($A76,'Privacy Analyst Evaluation'!$A$46:$F$120,6,0)&amp;""</f>
        <v/>
      </c>
      <c r="H76" s="35"/>
    </row>
    <row r="77" spans="1:8" s="1" customFormat="1" ht="57" customHeight="1" x14ac:dyDescent="0.2">
      <c r="A77" s="19" t="s">
        <v>1038</v>
      </c>
      <c r="B77" s="18" t="str">
        <f>VLOOKUP($A77,Questions!$A$2:$X$333,2,0)</f>
        <v>Do you collect personal information only for the purpose(s) identified in the agreement with an institution or, if there is none, the purpose(s) identified in the privacy notice?</v>
      </c>
      <c r="C77" s="21"/>
      <c r="D77" s="326"/>
      <c r="E77" s="167" t="str">
        <f>IF($C77='Auto Responses'!$J$3,VLOOKUP($A77,Questions!$A$2:$X$333,17,0)&amp;"",IF($C77='Auto Responses'!$J$4,VLOOKUP($A77,Questions!$A$2:$X$333,16,0)&amp;"",IF($C77='Auto Responses'!$J$5,VLOOKUP($A77,Questions!$A$2:$X$333,18,0)&amp;"",VLOOKUP($A77,Questions!$A$2:$X$333,15,0)&amp;"")))</f>
        <v>This includes quality assurance, marketing and advertising, etc.</v>
      </c>
      <c r="F77" s="204" t="str">
        <f>VLOOKUP($A77,'Privacy Analyst Evaluation'!$A$46:$F$120,6,0)&amp;""</f>
        <v/>
      </c>
      <c r="H77" s="35"/>
    </row>
    <row r="78" spans="1:8" s="1" customFormat="1" ht="36" customHeight="1" x14ac:dyDescent="0.2">
      <c r="A78" s="19" t="s">
        <v>1039</v>
      </c>
      <c r="B78" s="18" t="str">
        <f>VLOOKUP($A78,Questions!$A$2:$X$333,2,0)</f>
        <v>Do you have a documented list of personal data your service maintains?</v>
      </c>
      <c r="C78" s="21"/>
      <c r="D78" s="326"/>
      <c r="E78" s="167" t="str">
        <f>IF($C78='Auto Responses'!$J$3,VLOOKUP($A78,Questions!$A$2:$X$333,17,0)&amp;"",IF($C78='Auto Responses'!$J$4,VLOOKUP($A78,Questions!$A$2:$X$333,16,0)&amp;"",IF($C78='Auto Responses'!$J$5,VLOOKUP($A78,Questions!$A$2:$X$333,18,0)&amp;"",VLOOKUP($A78,Questions!$A$2:$X$333,15,0)&amp;"")))</f>
        <v/>
      </c>
      <c r="F78" s="204" t="str">
        <f>VLOOKUP($A78,'Privacy Analyst Evaluation'!$A$46:$F$120,6,0)&amp;""</f>
        <v/>
      </c>
      <c r="H78" s="35"/>
    </row>
    <row r="79" spans="1:8" s="1" customFormat="1" ht="57.75" customHeight="1" x14ac:dyDescent="0.2">
      <c r="A79" s="19" t="s">
        <v>1040</v>
      </c>
      <c r="B79" s="18" t="str">
        <f>VLOOKUP($A79,Questions!$A$2:$X$333,2,0)</f>
        <v>Do you retain personal information for only as long as necessary to fulfill the stated purpose(s) or as required by law or regulation and thereafter appropriately dispose of such information?</v>
      </c>
      <c r="C79" s="21"/>
      <c r="D79" s="326"/>
      <c r="E79" s="167" t="str">
        <f>IF($C79='Auto Responses'!$J$3,VLOOKUP($A79,Questions!$A$2:$X$333,17,0)&amp;"",IF($C79='Auto Responses'!$J$4,VLOOKUP($A79,Questions!$A$2:$X$333,16,0)&amp;"",IF($C79='Auto Responses'!$J$5,VLOOKUP($A79,Questions!$A$2:$X$333,18,0)&amp;"",VLOOKUP($A79,Questions!$A$2:$X$333,15,0)&amp;"")))</f>
        <v/>
      </c>
      <c r="F79" s="204" t="str">
        <f>VLOOKUP($A79,'Privacy Analyst Evaluation'!$A$46:$F$120,6,0)&amp;""</f>
        <v/>
      </c>
      <c r="H79" s="35"/>
    </row>
    <row r="80" spans="1:8" s="1" customFormat="1" ht="99.75" x14ac:dyDescent="0.2">
      <c r="A80" s="19" t="s">
        <v>1041</v>
      </c>
      <c r="B80" s="18" t="str">
        <f>VLOOKUP($A80,Questions!$A$2:$X$333,2,0)</f>
        <v>Do you provide individuals with access to their personal information for review and update (i.e., data subject rights)?</v>
      </c>
      <c r="C80" s="21"/>
      <c r="D80" s="326"/>
      <c r="E80" s="167" t="str">
        <f>IF($C80='Auto Responses'!$J$3,VLOOKUP($A80,Questions!$A$2:$X$333,17,0)&amp;"",IF($C80='Auto Responses'!$J$4,VLOOKUP($A80,Questions!$A$2:$X$333,16,0)&amp;"",IF($C80='Auto Responses'!$J$5,VLOOKUP($A80,Questions!$A$2:$X$333,18,0)&amp;"",VLOOKUP($A80,Questions!$A$2:$X$333,15,0)&amp;"")))</f>
        <v>Such processes would include descriptions of request processes individuals can follow to review their information and written processes a data subject may use to ask for changes or corrections to data held about them.</v>
      </c>
      <c r="F80" s="204" t="str">
        <f>VLOOKUP($A80,'Privacy Analyst Evaluation'!$A$46:$F$120,6,0)&amp;""</f>
        <v/>
      </c>
      <c r="H80" s="35"/>
    </row>
    <row r="81" spans="1:8" s="1" customFormat="1" ht="70.5" customHeight="1" x14ac:dyDescent="0.2">
      <c r="A81" s="19" t="s">
        <v>1042</v>
      </c>
      <c r="B81" s="18" t="str">
        <f>VLOOKUP($A81,Questions!$A$2:$X$333,2,0)</f>
        <v>Do you disclose personal information to third parties only for the purpose(s) identified in the privacy notice or with the implicit or explicit consent of the individual?</v>
      </c>
      <c r="C81" s="21"/>
      <c r="D81" s="326"/>
      <c r="E81" s="167" t="str">
        <f>IF($C81='Auto Responses'!$J$3,VLOOKUP($A81,Questions!$A$2:$X$333,17,0)&amp;"",IF($C81='Auto Responses'!$J$4,VLOOKUP($A81,Questions!$A$2:$X$333,16,0)&amp;"",IF($C81='Auto Responses'!$J$5,VLOOKUP($A81,Questions!$A$2:$X$333,18,0)&amp;"",VLOOKUP($A81,Questions!$A$2:$X$333,15,0)&amp;"")))</f>
        <v/>
      </c>
      <c r="F81" s="204" t="str">
        <f>VLOOKUP($A81,'Privacy Analyst Evaluation'!$A$46:$F$120,6,0)&amp;""</f>
        <v/>
      </c>
      <c r="H81" s="35"/>
    </row>
    <row r="82" spans="1:8" s="1" customFormat="1" ht="40.5" customHeight="1" x14ac:dyDescent="0.2">
      <c r="A82" s="19" t="s">
        <v>1043</v>
      </c>
      <c r="B82" s="18" t="str">
        <f>VLOOKUP($A82,Questions!$A$2:$X$333,2,0)</f>
        <v>Do you protect personal information against unauthorized access (both physical and logical)?</v>
      </c>
      <c r="C82" s="21"/>
      <c r="D82" s="326"/>
      <c r="E82" s="167" t="str">
        <f>IF($C82='Auto Responses'!$J$3,VLOOKUP($A82,Questions!$A$2:$X$333,17,0)&amp;"",IF($C82='Auto Responses'!$J$4,VLOOKUP($A82,Questions!$A$2:$X$333,16,0)&amp;"",IF($C82='Auto Responses'!$J$5,VLOOKUP($A82,Questions!$A$2:$X$333,18,0)&amp;"",VLOOKUP($A82,Questions!$A$2:$X$333,15,0)&amp;"")))</f>
        <v/>
      </c>
      <c r="F82" s="204" t="str">
        <f>VLOOKUP($A82,'Privacy Analyst Evaluation'!$A$46:$F$120,6,0)&amp;""</f>
        <v/>
      </c>
      <c r="H82" s="35"/>
    </row>
    <row r="83" spans="1:8" s="1" customFormat="1" ht="49.5" customHeight="1" x14ac:dyDescent="0.2">
      <c r="A83" s="19" t="s">
        <v>1044</v>
      </c>
      <c r="B83" s="18" t="str">
        <f>VLOOKUP($A83,Questions!$A$2:$X$333,2,0)</f>
        <v>Do you maintain accurate, complete, and relevant personal information for the purposes identified in the privacy notice?</v>
      </c>
      <c r="C83" s="21"/>
      <c r="D83" s="326"/>
      <c r="E83" s="167" t="str">
        <f>IF($C83='Auto Responses'!$J$3,VLOOKUP($A83,Questions!$A$2:$X$333,17,0)&amp;"",IF($C83='Auto Responses'!$J$4,VLOOKUP($A83,Questions!$A$2:$X$333,16,0)&amp;"",IF($C83='Auto Responses'!$J$5,VLOOKUP($A83,Questions!$A$2:$X$333,18,0)&amp;"",VLOOKUP($A83,Questions!$A$2:$X$333,15,0)&amp;"")))</f>
        <v/>
      </c>
      <c r="F83" s="204" t="str">
        <f>VLOOKUP($A83,'Privacy Analyst Evaluation'!$A$46:$F$120,6,0)&amp;""</f>
        <v/>
      </c>
      <c r="H83" s="35"/>
    </row>
    <row r="84" spans="1:8" s="1" customFormat="1" ht="46.5" customHeight="1" x14ac:dyDescent="0.2">
      <c r="A84" s="19" t="s">
        <v>1045</v>
      </c>
      <c r="B84" s="18" t="str">
        <f>VLOOKUP($A84,Questions!$A$2:$X$333,2,0)</f>
        <v>Do you have procedures to address privacy-related noncompliance complaints and disputes?</v>
      </c>
      <c r="C84" s="21"/>
      <c r="D84" s="326"/>
      <c r="E84" s="167" t="str">
        <f>IF($C84='Auto Responses'!$J$3,VLOOKUP($A84,Questions!$A$2:$X$333,17,0)&amp;"",IF($C84='Auto Responses'!$J$4,VLOOKUP($A84,Questions!$A$2:$X$333,16,0)&amp;"",IF($C84='Auto Responses'!$J$5,VLOOKUP($A84,Questions!$A$2:$X$333,18,0)&amp;"",VLOOKUP($A84,Questions!$A$2:$X$333,15,0)&amp;"")))</f>
        <v/>
      </c>
      <c r="F84" s="204" t="str">
        <f>VLOOKUP($A84,'Privacy Analyst Evaluation'!$A$46:$F$120,6,0)&amp;""</f>
        <v/>
      </c>
      <c r="H84" s="35"/>
    </row>
    <row r="85" spans="1:8" s="1" customFormat="1" ht="45" customHeight="1" x14ac:dyDescent="0.2">
      <c r="A85" s="19" t="s">
        <v>1046</v>
      </c>
      <c r="B85" s="18" t="str">
        <f>VLOOKUP($A85,Questions!$A$2:$X$333,2,0)</f>
        <v>Do you "anonymize," "de-identify," or otherwise mask personal data?</v>
      </c>
      <c r="C85" s="21"/>
      <c r="D85" s="326"/>
      <c r="E85" s="167" t="str">
        <f>IF($C85='Auto Responses'!$J$3,VLOOKUP($A85,Questions!$A$2:$X$333,17,0)&amp;"",IF($C85='Auto Responses'!$J$4,VLOOKUP($A85,Questions!$A$2:$X$333,16,0)&amp;"",IF($C85='Auto Responses'!$J$5,VLOOKUP($A85,Questions!$A$2:$X$333,18,0)&amp;"",VLOOKUP($A85,Questions!$A$2:$X$333,15,0)&amp;"")))</f>
        <v/>
      </c>
      <c r="F85" s="204" t="str">
        <f>VLOOKUP($A85,'Privacy Analyst Evaluation'!$A$46:$F$120,6,0)&amp;""</f>
        <v/>
      </c>
      <c r="H85" s="35"/>
    </row>
    <row r="86" spans="1:8" s="1" customFormat="1" ht="93" customHeight="1" x14ac:dyDescent="0.2">
      <c r="A86" s="19" t="s">
        <v>1047</v>
      </c>
      <c r="B86" s="18" t="str">
        <f>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21"/>
      <c r="D86" s="326"/>
      <c r="E86" s="167" t="str">
        <f>IF($C86='Auto Responses'!$J$3,VLOOKUP($A86,Questions!$A$2:$X$333,17,0)&amp;"",IF($C86='Auto Responses'!$J$4,VLOOKUP($A86,Questions!$A$2:$X$333,16,0)&amp;"",IF($C86='Auto Responses'!$J$5,VLOOKUP($A86,Questions!$A$2:$X$333,18,0)&amp;"",VLOOKUP($A86,Questions!$A$2:$X$333,15,0)&amp;"")))</f>
        <v/>
      </c>
      <c r="F86" s="204" t="str">
        <f>VLOOKUP($A86,'Privacy Analyst Evaluation'!$A$46:$F$120,6,0)&amp;""</f>
        <v/>
      </c>
      <c r="H86" s="35"/>
    </row>
    <row r="87" spans="1:8" s="1" customFormat="1" ht="85.5" x14ac:dyDescent="0.2">
      <c r="A87" s="19" t="s">
        <v>1048</v>
      </c>
      <c r="B87" s="18" t="str">
        <f>VLOOKUP($A87,Questions!$A$2:$X$333,2,0)</f>
        <v>Do you certify stop-processing requests, including any data that is processed by a third party on your behalf?</v>
      </c>
      <c r="C87" s="21"/>
      <c r="D87" s="326"/>
      <c r="E87" s="167" t="str">
        <f>IF($C87='Auto Responses'!$J$3,VLOOKUP($A87,Questions!$A$2:$X$333,17,0)&amp;"",IF($C87='Auto Responses'!$J$4,VLOOKUP($A87,Questions!$A$2:$X$333,16,0)&amp;"",IF($C87='Auto Responses'!$J$5,VLOOKUP($A87,Questions!$A$2:$X$333,18,0)&amp;"",VLOOKUP($A87,Questions!$A$2:$X$333,15,0)&amp;"")))</f>
        <v>Provide evidence of existing processes or policies. The internal privacy policy should explain your organization's policies and practices regarding the collection of personal information and other data about individuals.</v>
      </c>
      <c r="F87" s="204" t="str">
        <f>VLOOKUP($A87,'Privacy Analyst Evaluation'!$A$46:$F$120,6,0)&amp;""</f>
        <v/>
      </c>
      <c r="H87" s="35"/>
    </row>
    <row r="88" spans="1:8" s="1" customFormat="1" ht="36.75" customHeight="1" thickBot="1" x14ac:dyDescent="0.25">
      <c r="A88" s="19" t="s">
        <v>1049</v>
      </c>
      <c r="B88" s="18" t="str">
        <f>VLOOKUP($A88,Questions!$A$2:$X$333,2,0)</f>
        <v>Do you have a process to review code for ethical considerations?</v>
      </c>
      <c r="C88" s="21"/>
      <c r="D88" s="326"/>
      <c r="E88" s="167" t="str">
        <f>IF($C88='Auto Responses'!$J$3,VLOOKUP($A88,Questions!$A$2:$X$333,17,0)&amp;"",IF($C88='Auto Responses'!$J$4,VLOOKUP($A88,Questions!$A$2:$X$333,16,0)&amp;"",VLOOKUP($A88,Questions!$A$2:$X$333,15,0)&amp;""))</f>
        <v/>
      </c>
      <c r="F88" s="204" t="str">
        <f>VLOOKUP($A88,'Privacy Analyst Evaluation'!$A$46:$F$120,6,0)&amp;""</f>
        <v/>
      </c>
      <c r="G88" s="238" t="s">
        <v>1449</v>
      </c>
      <c r="H88" s="35"/>
    </row>
    <row r="89" spans="1:8" s="1" customFormat="1" ht="37.35" customHeight="1" thickBot="1" x14ac:dyDescent="0.25">
      <c r="A89" s="63" t="str">
        <f>VLOOKUP(LEFT($A90,4),'Auto Responses'!$N$4:$O$38,2,0)&amp;""</f>
        <v xml:space="preserve"> Privacy and AI</v>
      </c>
      <c r="B89" s="22"/>
      <c r="C89" s="13" t="s">
        <v>1497</v>
      </c>
      <c r="D89" s="13" t="s">
        <v>72</v>
      </c>
      <c r="E89" s="31" t="s">
        <v>848</v>
      </c>
      <c r="F89" s="202" t="s">
        <v>849</v>
      </c>
      <c r="H89" s="35"/>
    </row>
    <row r="90" spans="1:8" s="1" customFormat="1" ht="15" x14ac:dyDescent="0.2">
      <c r="A90" s="19" t="s">
        <v>1050</v>
      </c>
      <c r="B90" s="18" t="str">
        <f>VLOOKUP($A90,Questions!$A$2:$X$333,2,0)</f>
        <v>Does your service use AI for the processing of institutional data?</v>
      </c>
      <c r="C90" s="21"/>
      <c r="D90" s="326"/>
      <c r="E90" s="167" t="str">
        <f>IF($C$19='Auto Responses'!$J$4,'Auto Responses'!$A$6,IF($C90='Auto Responses'!$J$3,VLOOKUP($A90,Questions!$A$2:$X$333,17,0)&amp;"",IF($C90='Auto Responses'!$J$4,VLOOKUP($A90,Questions!$A$2:$X$333,16,0)&amp;"",IF($C90='Auto Responses'!$J$5,VLOOKUP($A90,Questions!$A$2:$X$333,18,0)&amp;"",VLOOKUP($A90,Questions!$A$2:$X$333,15,0)&amp;""))))</f>
        <v/>
      </c>
      <c r="F90" s="204" t="str">
        <f>VLOOKUP($A90,'Privacy Analyst Evaluation'!$A$46:$F$120,6,0)&amp;""</f>
        <v/>
      </c>
      <c r="H90" s="35"/>
    </row>
    <row r="91" spans="1:8" s="1" customFormat="1" ht="15" x14ac:dyDescent="0.2">
      <c r="A91" s="19" t="s">
        <v>1051</v>
      </c>
      <c r="B91" s="18" t="str">
        <f>VLOOKUP($A91,Questions!$A$2:$X$333,2,0)</f>
        <v>Is any institutional data retained in AI processing?*</v>
      </c>
      <c r="C91" s="21"/>
      <c r="D91" s="326"/>
      <c r="E91" s="167" t="str">
        <f>IF($C$19='Auto Responses'!$J$4,'Auto Responses'!$A$6,IF($C91='Auto Responses'!$J$3,VLOOKUP($A91,Questions!$A$2:$X$333,17,0)&amp;"",IF($C91='Auto Responses'!$J$4,VLOOKUP($A91,Questions!$A$2:$X$333,16,0)&amp;"",IF($C91='Auto Responses'!$J$5,VLOOKUP($A91,Questions!$A$2:$X$333,18,0)&amp;"",VLOOKUP($A91,Questions!$A$2:$X$333,15,0)&amp;""))))</f>
        <v/>
      </c>
      <c r="F91" s="204" t="str">
        <f>VLOOKUP($A91,'Privacy Analyst Evaluation'!$A$46:$F$120,6,0)&amp;""</f>
        <v/>
      </c>
      <c r="H91" s="35"/>
    </row>
    <row r="92" spans="1:8" s="1" customFormat="1" ht="55.5" customHeight="1" x14ac:dyDescent="0.2">
      <c r="A92" s="19" t="s">
        <v>773</v>
      </c>
      <c r="B92" s="18" t="str">
        <f>VLOOKUP($A92,Questions!$A$2:$X$333,2,0)</f>
        <v>Do you have agreements in place with third parties or subprocessors regarding the protection of customer data and use of AI?*</v>
      </c>
      <c r="C92" s="21"/>
      <c r="D92" s="326"/>
      <c r="E92" s="167" t="str">
        <f>IF($C$19='Auto Responses'!$J$4,'Auto Responses'!$A$6,IF($C92='Auto Responses'!$J$3,VLOOKUP($A92,Questions!$A$2:$X$333,17,0)&amp;"",IF($C92='Auto Responses'!$J$4,VLOOKUP($A92,Questions!$A$2:$X$333,16,0)&amp;"",IF($C92='Auto Responses'!$J$5,VLOOKUP($A92,Questions!$A$2:$X$333,18,0)&amp;"",VLOOKUP($A92,Questions!$A$2:$X$333,15,0)&amp;""))))</f>
        <v/>
      </c>
      <c r="F92" s="204" t="str">
        <f>VLOOKUP($A92,'Privacy Analyst Evaluation'!$A$46:$F$120,6,0)&amp;""</f>
        <v/>
      </c>
      <c r="H92" s="35"/>
    </row>
    <row r="93" spans="1:8" s="1" customFormat="1" ht="32.25" customHeight="1" x14ac:dyDescent="0.2">
      <c r="A93" s="19" t="s">
        <v>775</v>
      </c>
      <c r="B93" s="18" t="str">
        <f>VLOOKUP($A93,Questions!$A$2:$X$333,2,0)</f>
        <v>Will institutional data be processed through a third party or subprocessor that also uses AI?</v>
      </c>
      <c r="C93" s="21"/>
      <c r="D93" s="326"/>
      <c r="E93" s="167" t="str">
        <f>IF($C$19='Auto Responses'!$J$4,'Auto Responses'!$A$6,IF($C93='Auto Responses'!$J$3,VLOOKUP($A93,Questions!$A$2:$X$333,17,0)&amp;"",IF($C93='Auto Responses'!$J$4,VLOOKUP($A93,Questions!$A$2:$X$333,16,0)&amp;"",IF($C93='Auto Responses'!$J$5,VLOOKUP($A93,Questions!$A$2:$X$333,18,0)&amp;"",VLOOKUP($A93,Questions!$A$2:$X$333,15,0)&amp;""))))</f>
        <v/>
      </c>
      <c r="F93" s="204" t="str">
        <f>VLOOKUP($A93,'Privacy Analyst Evaluation'!$A$46:$F$120,6,0)&amp;""</f>
        <v/>
      </c>
      <c r="H93" s="35"/>
    </row>
    <row r="94" spans="1:8" s="1" customFormat="1" ht="32.25" customHeight="1" x14ac:dyDescent="0.2">
      <c r="A94" s="19" t="s">
        <v>776</v>
      </c>
      <c r="B94" s="18" t="str">
        <f>VLOOKUP($A94,Questions!$A$2:$X$333,2,0)</f>
        <v>Is AI processing limited to fully licensed commercial enterprise AI services?</v>
      </c>
      <c r="C94" s="21"/>
      <c r="D94" s="326"/>
      <c r="E94" s="167" t="str">
        <f>IF($C$19='Auto Responses'!$J$4,'Auto Responses'!$A$6,IF($C94='Auto Responses'!$J$3,VLOOKUP($A94,Questions!$A$2:$X$333,17,0)&amp;"",IF($C94='Auto Responses'!$J$4,VLOOKUP($A94,Questions!$A$2:$X$333,16,0)&amp;"",IF($C94='Auto Responses'!$J$5,VLOOKUP($A94,Questions!$A$2:$X$333,18,0)&amp;"",VLOOKUP($A94,Questions!$A$2:$X$333,15,0)&amp;""))))</f>
        <v/>
      </c>
      <c r="F94" s="204" t="str">
        <f>VLOOKUP($A94,'Privacy Analyst Evaluation'!$A$46:$F$120,6,0)&amp;""</f>
        <v/>
      </c>
      <c r="H94" s="35"/>
    </row>
    <row r="95" spans="1:8" s="1" customFormat="1" ht="85.5" x14ac:dyDescent="0.2">
      <c r="A95" s="19" t="s">
        <v>778</v>
      </c>
      <c r="B95" s="18" t="str">
        <f>VLOOKUP($A95,Questions!$A$2:$X$333,2,0)</f>
        <v>Will institutional data be used or processed by any shared AI services?</v>
      </c>
      <c r="C95" s="21"/>
      <c r="D95" s="326"/>
      <c r="E95" s="167" t="str">
        <f>IF($C$19='Auto Responses'!$J$4,'Auto Responses'!$A$6,IF($C95='Auto Responses'!$J$3,VLOOKUP($A95,Questions!$A$2:$X$333,17,0)&amp;"",IF($C95='Auto Responses'!$J$4,VLOOKUP($A95,Questions!$A$2:$X$333,16,0)&amp;"",IF($C95='Auto Responses'!$J$5,VLOOKUP($A95,Questions!$A$2:$X$333,18,0)&amp;"",VLOOKUP($A95,Questions!$A$2:$X$333,15,0)&amp;""))))</f>
        <v>Provide detailed response to the type of data needed for the AI service to function appropriately, the sources of the data, and whether any data shared with the AI service comes from data sources outside the institution.</v>
      </c>
      <c r="F95" s="204" t="str">
        <f>VLOOKUP($A95,'Privacy Analyst Evaluation'!$A$46:$F$120,6,0)&amp;""</f>
        <v/>
      </c>
      <c r="H95" s="35"/>
    </row>
    <row r="96" spans="1:8" s="1" customFormat="1" ht="32.25" customHeight="1" x14ac:dyDescent="0.2">
      <c r="A96" s="19" t="s">
        <v>779</v>
      </c>
      <c r="B96" s="18" t="str">
        <f>VLOOKUP($A96,Questions!$A$2:$X$333,2,0)</f>
        <v>Do you have safeguards in place to protect institutional data and data privacy from unintended AI queries or processing?</v>
      </c>
      <c r="C96" s="21"/>
      <c r="D96" s="326"/>
      <c r="E96" s="167" t="str">
        <f>IF($C$19='Auto Responses'!$J$4,'Auto Responses'!$A$6,IF($C96='Auto Responses'!$J$3,VLOOKUP($A96,Questions!$A$2:$X$333,17,0)&amp;"",IF($C96='Auto Responses'!$J$4,VLOOKUP($A96,Questions!$A$2:$X$333,16,0)&amp;"",IF($C96='Auto Responses'!$J$5,VLOOKUP($A96,Questions!$A$2:$X$333,18,0)&amp;"",VLOOKUP($A96,Questions!$A$2:$X$333,15,0)&amp;""))))</f>
        <v/>
      </c>
      <c r="F96" s="204" t="str">
        <f>VLOOKUP($A96,'Privacy Analyst Evaluation'!$A$46:$F$120,6,0)&amp;""</f>
        <v/>
      </c>
      <c r="H96" s="35"/>
    </row>
    <row r="97" spans="1:11" s="1" customFormat="1" ht="55.5" customHeight="1" x14ac:dyDescent="0.2">
      <c r="A97" s="19" t="s">
        <v>780</v>
      </c>
      <c r="B97" s="18" t="str">
        <f>VLOOKUP($A97,Questions!$A$2:$X$333,2,0)</f>
        <v>Do you provide choice to the user to opt out of AI use?</v>
      </c>
      <c r="C97" s="21"/>
      <c r="D97" s="326"/>
      <c r="E97" s="167" t="str">
        <f>IF($C$19='Auto Responses'!$J$4,'Auto Responses'!$A$6,IF($C97='Auto Responses'!$J$3,VLOOKUP($A97,Questions!$A$2:$X$333,17,0)&amp;"",IF($C97='Auto Responses'!$J$4,VLOOKUP($A97,Questions!$A$2:$X$333,16,0)&amp;"",IF($C97='Auto Responses'!$J$5,VLOOKUP($A97,Questions!$A$2:$X$333,18,0)&amp;"",VLOOKUP($A97,Questions!$A$2:$X$333,15,0)&amp;""))))</f>
        <v/>
      </c>
      <c r="F97" s="204" t="str">
        <f>VLOOKUP($A97,'Privacy Analyst Evaluation'!$A$46:$F$120,6,0)&amp;""</f>
        <v/>
      </c>
      <c r="G97" s="238" t="s">
        <v>1449</v>
      </c>
      <c r="H97" s="35"/>
    </row>
    <row r="98" spans="1:11" s="1" customFormat="1" ht="44.25" customHeight="1" x14ac:dyDescent="0.2">
      <c r="A98" s="267" t="s">
        <v>1507</v>
      </c>
      <c r="C98" s="8"/>
      <c r="D98" s="9"/>
      <c r="E98" s="40"/>
      <c r="F98" s="196"/>
      <c r="H98" s="35"/>
    </row>
    <row r="99" spans="1:11" s="1" customFormat="1" ht="15" hidden="1" customHeight="1" x14ac:dyDescent="0.2">
      <c r="A99"/>
      <c r="C99" s="8"/>
      <c r="D99" s="9"/>
      <c r="E99" s="40"/>
      <c r="F99" s="196"/>
      <c r="H99" s="35"/>
    </row>
    <row r="100" spans="1:11" ht="15" hidden="1" customHeight="1" x14ac:dyDescent="0.2">
      <c r="A100" s="1"/>
      <c r="B100" s="8"/>
      <c r="C100" s="71"/>
      <c r="D100" s="10"/>
      <c r="E100" s="41"/>
      <c r="G100" s="35"/>
      <c r="H100" s="1"/>
      <c r="K100"/>
    </row>
    <row r="101" spans="1:11" ht="0" hidden="1" customHeight="1" x14ac:dyDescent="0.2">
      <c r="A101" s="19" t="e">
        <f>#REF!</f>
        <v>#REF!</v>
      </c>
    </row>
    <row r="102" spans="1:11" s="1" customFormat="1" ht="0" hidden="1" customHeight="1" x14ac:dyDescent="0.2">
      <c r="A102" s="19" t="e">
        <f>#REF!</f>
        <v>#REF!</v>
      </c>
      <c r="C102" s="8"/>
      <c r="D102" s="9"/>
      <c r="E102" s="40"/>
      <c r="F102" s="196"/>
      <c r="H102" s="35"/>
    </row>
    <row r="103" spans="1:11" s="1" customFormat="1" ht="0" hidden="1" customHeight="1" x14ac:dyDescent="0.2">
      <c r="A103" s="19" t="e">
        <f>#REF!</f>
        <v>#REF!</v>
      </c>
      <c r="C103" s="8"/>
      <c r="D103" s="9"/>
      <c r="E103" s="40"/>
      <c r="F103" s="196"/>
      <c r="H103" s="35"/>
    </row>
    <row r="104" spans="1:11" s="1" customFormat="1" ht="0" hidden="1" customHeight="1" x14ac:dyDescent="0.2">
      <c r="A104" s="19" t="e">
        <f>#REF!</f>
        <v>#REF!</v>
      </c>
      <c r="C104" s="8"/>
      <c r="D104" s="9"/>
      <c r="E104" s="40"/>
      <c r="F104" s="196"/>
      <c r="H104" s="35"/>
    </row>
    <row r="105" spans="1:11" s="1" customFormat="1" ht="0" hidden="1" customHeight="1" x14ac:dyDescent="0.2">
      <c r="A105" s="19" t="e">
        <f>#REF!</f>
        <v>#REF!</v>
      </c>
      <c r="C105" s="8"/>
      <c r="D105" s="9"/>
      <c r="E105" s="40"/>
      <c r="F105" s="196"/>
      <c r="H105" s="35"/>
    </row>
    <row r="106" spans="1:11" s="1" customFormat="1" ht="0" hidden="1" customHeight="1" x14ac:dyDescent="0.2">
      <c r="A106" s="19" t="e">
        <f>#REF!</f>
        <v>#REF!</v>
      </c>
      <c r="C106" s="8"/>
      <c r="D106" s="9"/>
      <c r="E106" s="40"/>
      <c r="F106" s="196"/>
      <c r="H106" s="35"/>
    </row>
    <row r="107" spans="1:11" s="1" customFormat="1" ht="0" hidden="1" customHeight="1" x14ac:dyDescent="0.2">
      <c r="A107" s="19" t="e">
        <f>#REF!</f>
        <v>#REF!</v>
      </c>
      <c r="C107" s="8"/>
      <c r="D107" s="9"/>
      <c r="E107" s="40"/>
      <c r="F107" s="196"/>
      <c r="H107" s="35"/>
    </row>
    <row r="108" spans="1:11" s="1" customFormat="1" ht="0" hidden="1" customHeight="1" x14ac:dyDescent="0.2">
      <c r="A108"/>
      <c r="C108" s="8"/>
      <c r="D108" s="9"/>
      <c r="E108" s="40"/>
      <c r="F108" s="196"/>
      <c r="H108" s="35"/>
    </row>
    <row r="109" spans="1:11" s="1" customFormat="1" ht="0" hidden="1" customHeight="1" x14ac:dyDescent="0.2">
      <c r="A109"/>
      <c r="C109" s="8"/>
      <c r="D109" s="9"/>
      <c r="E109" s="40"/>
      <c r="F109" s="196"/>
      <c r="H109" s="35"/>
    </row>
    <row r="110" spans="1:11" s="1" customFormat="1" ht="0" hidden="1" customHeight="1" x14ac:dyDescent="0.2">
      <c r="A110"/>
      <c r="C110" s="8"/>
      <c r="D110" s="9"/>
      <c r="E110" s="40"/>
      <c r="F110" s="196"/>
      <c r="H110" s="35"/>
    </row>
    <row r="111" spans="1:11" s="1" customFormat="1" ht="0" hidden="1" customHeight="1" x14ac:dyDescent="0.2">
      <c r="A111"/>
      <c r="C111" s="8"/>
      <c r="D111" s="9"/>
      <c r="E111" s="40"/>
      <c r="F111" s="196"/>
      <c r="H111" s="35"/>
    </row>
    <row r="112" spans="1:11" s="1" customFormat="1" ht="0" hidden="1" customHeight="1" x14ac:dyDescent="0.2">
      <c r="A112"/>
      <c r="C112" s="8"/>
      <c r="D112" s="9"/>
      <c r="E112" s="40"/>
      <c r="F112" s="196"/>
      <c r="H112" s="35"/>
    </row>
    <row r="113" spans="1:8" s="1" customFormat="1" ht="0" hidden="1" customHeight="1" x14ac:dyDescent="0.2">
      <c r="A113"/>
      <c r="C113" s="8"/>
      <c r="D113" s="9"/>
      <c r="E113" s="40"/>
      <c r="F113" s="196"/>
      <c r="H113" s="35"/>
    </row>
    <row r="114" spans="1:8" s="1" customFormat="1" ht="0" hidden="1" customHeight="1" x14ac:dyDescent="0.2">
      <c r="A114"/>
      <c r="C114" s="8"/>
      <c r="D114" s="9"/>
      <c r="E114" s="40"/>
      <c r="F114" s="196"/>
      <c r="H114" s="35"/>
    </row>
    <row r="115" spans="1:8" s="1" customFormat="1" ht="0" hidden="1" customHeight="1" x14ac:dyDescent="0.2">
      <c r="A115"/>
      <c r="C115" s="8"/>
      <c r="D115" s="9"/>
      <c r="E115" s="40"/>
      <c r="F115" s="196"/>
      <c r="H115" s="35"/>
    </row>
    <row r="116" spans="1:8" s="1" customFormat="1" ht="0" hidden="1" customHeight="1" x14ac:dyDescent="0.2">
      <c r="A116"/>
      <c r="C116" s="8"/>
      <c r="D116" s="9"/>
      <c r="E116" s="40"/>
      <c r="F116" s="196"/>
      <c r="H116" s="35"/>
    </row>
    <row r="117" spans="1:8" s="1" customFormat="1" ht="0" hidden="1" customHeight="1" x14ac:dyDescent="0.2">
      <c r="A117"/>
      <c r="C117" s="8"/>
      <c r="D117" s="9"/>
      <c r="E117" s="40"/>
      <c r="F117" s="196"/>
      <c r="H117" s="35"/>
    </row>
  </sheetData>
  <phoneticPr fontId="31"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C32:C33 C54:C60 C74:C75 C45:C52 C42:C43 C88 C30 C62 C64:C66</xm:sqref>
        </x14:dataValidation>
        <x14:dataValidation type="list" allowBlank="1" showInputMessage="1" showErrorMessage="1" xr:uid="{A7CD7EA2-4712-436A-ABAD-79A46B9B4A1C}">
          <x14:formula1>
            <xm:f>'Auto Responses'!$J$3:$J$5</xm:f>
          </x14:formula1>
          <xm:sqref>C72 C61 C90:C97 C39:C40 C76:C87 C35:C37 C63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3"/>
  <sheetViews>
    <sheetView showGridLines="0" showZeros="0" topLeftCell="A2" zoomScale="80" zoomScaleNormal="80" workbookViewId="0">
      <selection activeCell="A2" sqref="A2"/>
    </sheetView>
  </sheetViews>
  <sheetFormatPr defaultColWidth="0" defaultRowHeight="0" customHeight="1" zeroHeight="1" x14ac:dyDescent="0.2"/>
  <cols>
    <col min="1" max="1" width="18.796875" style="55" customWidth="1"/>
    <col min="2" max="2" width="57.59765625" style="55" customWidth="1"/>
    <col min="3" max="9" width="19.59765625" style="55" customWidth="1"/>
    <col min="10" max="10" width="19.69921875" style="55" bestFit="1" customWidth="1"/>
    <col min="11" max="11" width="17.09765625" style="55" customWidth="1"/>
    <col min="12" max="12" width="8.5" style="55" customWidth="1"/>
    <col min="13" max="13" width="0" style="55" hidden="1" customWidth="1"/>
    <col min="14" max="16384" width="8.5" style="55" hidden="1"/>
  </cols>
  <sheetData>
    <row r="1" spans="1:10" ht="0" hidden="1" customHeight="1" x14ac:dyDescent="0.2">
      <c r="A1" s="55" t="s">
        <v>1451</v>
      </c>
    </row>
    <row r="2" spans="1:10" ht="36" customHeight="1" x14ac:dyDescent="0.2">
      <c r="A2" s="176" t="s">
        <v>1517</v>
      </c>
      <c r="B2" s="173"/>
      <c r="C2" s="173"/>
      <c r="D2" s="173"/>
      <c r="E2" s="173"/>
      <c r="F2" s="173"/>
      <c r="G2" s="173"/>
      <c r="H2" s="173"/>
      <c r="I2" s="206" t="str">
        <f>'Auto Responses'!$A$36</f>
        <v>Version 4.1.5</v>
      </c>
      <c r="J2" s="174"/>
    </row>
    <row r="3" spans="1:10" ht="25.5" customHeight="1" x14ac:dyDescent="0.2">
      <c r="A3" s="98"/>
      <c r="B3" s="98"/>
      <c r="C3" s="98"/>
      <c r="D3" s="98"/>
      <c r="E3" s="98"/>
      <c r="F3" s="98"/>
      <c r="G3" s="98"/>
      <c r="H3" s="98"/>
      <c r="I3" s="98"/>
      <c r="J3" s="98"/>
    </row>
    <row r="4" spans="1:10" ht="36" customHeight="1" x14ac:dyDescent="0.2">
      <c r="A4" s="99" t="s">
        <v>866</v>
      </c>
      <c r="B4" s="100"/>
      <c r="C4" s="100"/>
      <c r="D4" s="100"/>
      <c r="E4" s="100"/>
      <c r="F4" s="100"/>
      <c r="G4" s="100"/>
      <c r="H4" s="100"/>
      <c r="I4" s="100"/>
      <c r="J4" s="100"/>
    </row>
    <row r="5" spans="1:10" s="271" customFormat="1" ht="19.5" customHeight="1" x14ac:dyDescent="0.2">
      <c r="A5" s="251" t="str">
        <f>HLOOKUP($A$4,'Auto Responses'!$F$2:$F$7,2,0)&amp;""</f>
        <v>1. Upon initial review, you can check the "Non-Negotiable" box by any question to compile a report of questions that may prohibit a full review.</v>
      </c>
      <c r="B5" s="251"/>
      <c r="C5" s="251"/>
      <c r="D5" s="251"/>
      <c r="E5" s="251"/>
      <c r="F5" s="251"/>
      <c r="G5" s="251"/>
      <c r="H5" s="251"/>
      <c r="I5" s="251"/>
      <c r="J5" s="251"/>
    </row>
    <row r="6" spans="1:10" s="271" customFormat="1" ht="19.5" customHeight="1" x14ac:dyDescent="0.2">
      <c r="A6" s="251" t="str">
        <f>HLOOKUP($A$4,'Auto Responses'!$F$2:$F$7,3,0)&amp;""</f>
        <v>2. When evaluating an answer, a default importance level has been set. You can use the "Importance Override" dropdown to override the default and adjust the value of the question.</v>
      </c>
      <c r="B6" s="251"/>
      <c r="C6" s="251"/>
      <c r="D6" s="251"/>
      <c r="E6" s="251"/>
      <c r="F6" s="251"/>
      <c r="G6" s="251"/>
      <c r="H6" s="251"/>
      <c r="I6" s="251"/>
      <c r="J6" s="251"/>
    </row>
    <row r="7" spans="1:10" s="271" customFormat="1" ht="19.5" customHeight="1" x14ac:dyDescent="0.2">
      <c r="A7" s="251" t="str">
        <f>HLOOKUP($A$4,'Auto Responses'!$F$2:$F$7,4,0)&amp;""</f>
        <v>3. For questions that are qualitative or for which you disagree with the preferred response, make a selection in the "Compliant Override" dropdown to adjust the question's impact on the score.</v>
      </c>
      <c r="B7" s="251"/>
      <c r="C7" s="251"/>
      <c r="D7" s="251"/>
      <c r="E7" s="251"/>
      <c r="F7" s="251"/>
      <c r="G7" s="251"/>
      <c r="H7" s="251"/>
      <c r="I7" s="251"/>
      <c r="J7" s="251"/>
    </row>
    <row r="8" spans="1:10" s="271" customFormat="1" ht="19.5" customHeight="1" x14ac:dyDescent="0.2">
      <c r="A8" s="251" t="str">
        <f>HLOOKUP($A$4,'Auto Responses'!$F$2:$F$7,5,0)&amp;""</f>
        <v xml:space="preserve">4. Each worksheet shows a report for that section. See the "Analyst Report" sheet for a full report of all sections. </v>
      </c>
      <c r="B8" s="251"/>
      <c r="C8" s="251"/>
      <c r="D8" s="251"/>
      <c r="E8" s="251"/>
      <c r="F8" s="251"/>
      <c r="G8" s="251"/>
      <c r="H8" s="251"/>
      <c r="I8" s="251"/>
      <c r="J8" s="251"/>
    </row>
    <row r="9" spans="1:10" s="271" customFormat="1" ht="19.5" customHeight="1" x14ac:dyDescent="0.2">
      <c r="A9" s="251" t="str">
        <f>HLOOKUP($A$4,'Auto Responses'!$F$2:$F$7,6,0)&amp;""</f>
        <v xml:space="preserve">5. If you are evaluating a question that appears in an earlier section, the Importance and Compliant Override cannot be changed but additional notes can be added. </v>
      </c>
      <c r="B9" s="251"/>
      <c r="C9" s="251"/>
      <c r="D9" s="251"/>
      <c r="E9" s="251"/>
      <c r="F9" s="251"/>
      <c r="G9" s="251"/>
      <c r="H9" s="251"/>
      <c r="I9" s="251"/>
      <c r="J9" s="251"/>
    </row>
    <row r="10" spans="1:10" ht="19.5" customHeight="1" thickBot="1" x14ac:dyDescent="0.25">
      <c r="A10" s="252" t="str">
        <f>HLOOKUP($A$4,'Auto Responses'!$F$2:$F$8,7,0)&amp;""</f>
        <v>For full instructions, please visit EDUCAUSE.edu/HECVAT</v>
      </c>
      <c r="B10" s="61"/>
      <c r="C10" s="61"/>
      <c r="D10" s="61"/>
      <c r="E10" s="61"/>
      <c r="F10" s="61"/>
      <c r="G10" s="61"/>
      <c r="H10" s="61"/>
      <c r="I10" s="61"/>
      <c r="J10" s="61"/>
    </row>
    <row r="11" spans="1:10" s="89" customFormat="1" ht="25.5" customHeight="1" x14ac:dyDescent="0.2">
      <c r="A11" s="156" t="str">
        <f>'START HERE'!$B$13</f>
        <v>Solution Provider Name</v>
      </c>
      <c r="B11" s="142"/>
      <c r="C11" s="136" t="str">
        <f>VLOOKUP($A11,'START HERE'!$B$13:$C$21,2,0)&amp;""</f>
        <v/>
      </c>
      <c r="D11" s="137"/>
      <c r="E11" s="211"/>
      <c r="F11" s="214"/>
      <c r="G11" s="90"/>
      <c r="H11" s="95"/>
      <c r="I11" s="90"/>
      <c r="J11" s="90"/>
    </row>
    <row r="12" spans="1:10" s="89" customFormat="1" ht="25.5" customHeight="1" x14ac:dyDescent="0.2">
      <c r="A12" s="157" t="str">
        <f>'START HERE'!$B$16</f>
        <v>Solution Provider Contact Name</v>
      </c>
      <c r="B12" s="143"/>
      <c r="C12" s="135" t="str">
        <f>VLOOKUP($A12,'START HERE'!$B$13:$C$21,2,0)&amp;""</f>
        <v/>
      </c>
      <c r="D12" s="97"/>
      <c r="E12" s="212"/>
      <c r="F12" s="214"/>
      <c r="G12" s="90"/>
      <c r="H12" s="95"/>
      <c r="I12" s="90"/>
      <c r="J12" s="90"/>
    </row>
    <row r="13" spans="1:10" s="89" customFormat="1" ht="25.5" customHeight="1" x14ac:dyDescent="0.2">
      <c r="A13" s="157" t="str">
        <f>'START HERE'!$B$17</f>
        <v>Solution Provider Contact Title</v>
      </c>
      <c r="B13" s="143"/>
      <c r="C13" s="135" t="str">
        <f>VLOOKUP($A13,'START HERE'!$B$13:$C$21,2,0)&amp;""</f>
        <v/>
      </c>
      <c r="D13" s="97"/>
      <c r="E13" s="212"/>
      <c r="F13" s="214"/>
      <c r="G13" s="90"/>
      <c r="H13" s="95"/>
      <c r="I13" s="90"/>
      <c r="J13" s="90"/>
    </row>
    <row r="14" spans="1:10" s="89" customFormat="1" ht="25.5" customHeight="1" x14ac:dyDescent="0.2">
      <c r="A14" s="157" t="str">
        <f>'START HERE'!$B$18</f>
        <v>Solution Provider Contact Email</v>
      </c>
      <c r="B14" s="143"/>
      <c r="C14" s="135" t="str">
        <f>VLOOKUP($A14,'START HERE'!$B$13:$C$21,2,0)&amp;""</f>
        <v/>
      </c>
      <c r="D14" s="97"/>
      <c r="E14" s="212"/>
      <c r="F14" s="215"/>
      <c r="G14" s="134"/>
      <c r="H14" s="134"/>
      <c r="I14" s="134"/>
      <c r="J14" s="134"/>
    </row>
    <row r="15" spans="1:10" s="89" customFormat="1" ht="25.5" customHeight="1" x14ac:dyDescent="0.2">
      <c r="A15" s="157" t="str">
        <f>'START HERE'!$B$14</f>
        <v>Solution Name</v>
      </c>
      <c r="B15" s="143"/>
      <c r="C15" s="135" t="str">
        <f>VLOOKUP($A15,'START HERE'!$B$13:$C$21,2,0)&amp;""</f>
        <v/>
      </c>
      <c r="D15" s="97"/>
      <c r="E15" s="212"/>
      <c r="F15" s="215"/>
      <c r="G15" s="134"/>
      <c r="H15" s="134"/>
      <c r="I15" s="134"/>
      <c r="J15" s="134"/>
    </row>
    <row r="16" spans="1:10" s="89" customFormat="1" ht="25.5" customHeight="1" x14ac:dyDescent="0.2">
      <c r="A16" s="157" t="str">
        <f>'START HERE'!$B$15</f>
        <v>Solution Description</v>
      </c>
      <c r="B16" s="143"/>
      <c r="C16" s="135" t="str">
        <f>VLOOKUP($A16,'START HERE'!$B$13:$C$21,2,0)&amp;""</f>
        <v/>
      </c>
      <c r="D16" s="97"/>
      <c r="E16" s="212"/>
      <c r="F16" s="215"/>
      <c r="G16" s="134"/>
      <c r="H16" s="134"/>
      <c r="I16" s="134"/>
      <c r="J16" s="134"/>
    </row>
    <row r="17" spans="1:11" s="89" customFormat="1" ht="25.5" customHeight="1" thickBot="1" x14ac:dyDescent="0.25">
      <c r="A17" s="158" t="s">
        <v>948</v>
      </c>
      <c r="B17" s="144"/>
      <c r="C17" s="338">
        <f>'START HERE'!$C$3</f>
        <v>0</v>
      </c>
      <c r="D17" s="140"/>
      <c r="E17" s="213"/>
      <c r="F17" s="215"/>
      <c r="G17" s="134"/>
      <c r="H17" s="134"/>
      <c r="I17" s="134"/>
      <c r="J17" s="134"/>
    </row>
    <row r="18" spans="1:11" s="89" customFormat="1" ht="24.75" customHeight="1" x14ac:dyDescent="0.2">
      <c r="A18" s="90"/>
      <c r="B18" s="90"/>
      <c r="C18" s="259"/>
      <c r="D18" s="96"/>
      <c r="E18" s="90"/>
      <c r="F18" s="90"/>
      <c r="G18" s="90"/>
      <c r="H18" s="91"/>
      <c r="I18" s="91"/>
      <c r="J18" s="91"/>
    </row>
    <row r="19" spans="1:11" s="87" customFormat="1" ht="24" customHeight="1" thickBot="1" x14ac:dyDescent="0.25">
      <c r="A19" s="364"/>
      <c r="B19" s="364"/>
      <c r="C19" s="364"/>
      <c r="D19" s="88"/>
    </row>
    <row r="20" spans="1:11" ht="30" customHeight="1" thickBot="1" x14ac:dyDescent="0.25">
      <c r="A20" s="272" t="s">
        <v>1510</v>
      </c>
      <c r="B20" s="83" t="s">
        <v>947</v>
      </c>
      <c r="C20" s="110" t="s">
        <v>1511</v>
      </c>
      <c r="D20" s="82" t="s">
        <v>1512</v>
      </c>
      <c r="E20" s="109" t="s">
        <v>946</v>
      </c>
      <c r="F20" s="109" t="s">
        <v>945</v>
      </c>
      <c r="G20" s="125" t="s">
        <v>1862</v>
      </c>
      <c r="H20" s="126"/>
      <c r="I20" s="127"/>
    </row>
    <row r="21" spans="1:11" s="84" customFormat="1" ht="40.5" customHeight="1" x14ac:dyDescent="0.2">
      <c r="B21" s="85" t="str">
        <f>VLOOKUP($K21,'Auto Responses'!$N$4:$O$38,2,0)&amp;""</f>
        <v xml:space="preserve"> Company Information</v>
      </c>
      <c r="C21" s="117" t="b">
        <v>1</v>
      </c>
      <c r="D21" s="111">
        <f>IF($C21=TRUE,SUMIF('(backend scoring)'!$B$3:$B$333,$K21,'(backend scoring)'!$O$3:$O$333),"")</f>
        <v>20</v>
      </c>
      <c r="E21" s="118">
        <f>IF($C21=TRUE,SUMIF('(backend scoring)'!$B$3:$B$333,$K21,'(backend scoring)'!$P$3:$P$333),"")</f>
        <v>0</v>
      </c>
      <c r="F21" s="146">
        <f>IFERROR($E21/$D21,'Auto Responses'!$J$5)</f>
        <v>0</v>
      </c>
      <c r="G21" s="222" t="str">
        <f>$G$20&amp;B21</f>
        <v>Jump to Company Information</v>
      </c>
      <c r="H21" s="120"/>
      <c r="I21" s="122"/>
      <c r="K21" s="357" t="s">
        <v>876</v>
      </c>
    </row>
    <row r="22" spans="1:11" s="84" customFormat="1" ht="40.5" customHeight="1" x14ac:dyDescent="0.2">
      <c r="A22" s="265"/>
      <c r="B22" s="85" t="str">
        <f>VLOOKUP($K22,'Auto Responses'!$N$4:$O$38,2,0)&amp;""</f>
        <v xml:space="preserve"> Documentation</v>
      </c>
      <c r="C22" s="117" t="b">
        <v>1</v>
      </c>
      <c r="D22" s="111">
        <f>IF($C22=TRUE,SUMIF('(backend scoring)'!$B$3:$B$333,$K22,'(backend scoring)'!$O$3:$O$333),"")</f>
        <v>90</v>
      </c>
      <c r="E22" s="118">
        <f>IF($C22=TRUE,SUMIF('(backend scoring)'!$B$3:$B$333,$K22,'(backend scoring)'!$P$3:$P$333),"")</f>
        <v>0</v>
      </c>
      <c r="F22" s="145">
        <f>IFERROR($E22/$D22,'Auto Responses'!$J$5)</f>
        <v>0</v>
      </c>
      <c r="G22" s="222" t="str">
        <f t="shared" ref="G22:G37" si="0">$G$20&amp;B22</f>
        <v>Jump to Documentation</v>
      </c>
      <c r="H22" s="119"/>
      <c r="I22" s="123"/>
      <c r="K22" s="357" t="s">
        <v>880</v>
      </c>
    </row>
    <row r="23" spans="1:11" s="84" customFormat="1" ht="40.5" customHeight="1" x14ac:dyDescent="0.2">
      <c r="A23" s="265"/>
      <c r="B23" s="85" t="str">
        <f>VLOOKUP($K23,'Auto Responses'!$N$4:$O$38,2,0)&amp;""</f>
        <v xml:space="preserve"> Assessment of Third Parties</v>
      </c>
      <c r="C23" s="117" t="b">
        <v>1</v>
      </c>
      <c r="D23" s="111">
        <f>IF($C23=TRUE,SUMIF('(backend scoring)'!$B$3:$B$333,$K23,'(backend scoring)'!$O$3:$O$333),"")</f>
        <v>90</v>
      </c>
      <c r="E23" s="118">
        <f>IF($C23=TRUE,SUMIF('(backend scoring)'!$B$3:$B$333,$K23,'(backend scoring)'!$P$3:$P$333),"")</f>
        <v>0</v>
      </c>
      <c r="F23" s="145">
        <f>IFERROR($E23/$D23,'Auto Responses'!$J$5)</f>
        <v>0</v>
      </c>
      <c r="G23" s="222" t="str">
        <f t="shared" si="0"/>
        <v>Jump to Assessment of Third Parties</v>
      </c>
      <c r="H23" s="119"/>
      <c r="I23" s="123"/>
      <c r="K23" s="357" t="s">
        <v>884</v>
      </c>
    </row>
    <row r="24" spans="1:11" s="84" customFormat="1" ht="40.5" customHeight="1" x14ac:dyDescent="0.2">
      <c r="B24" s="85" t="str">
        <f>VLOOKUP($K24,'Auto Responses'!$N$4:$O$38,2,0)&amp;""</f>
        <v xml:space="preserve"> Change Management</v>
      </c>
      <c r="C24" s="117" t="b">
        <v>1</v>
      </c>
      <c r="D24" s="111">
        <f>IF($C24=TRUE,SUMIF('(backend scoring)'!$B$3:$B$333,$K24,'(backend scoring)'!$O$3:$O$333),"")</f>
        <v>150</v>
      </c>
      <c r="E24" s="118">
        <f>IF($C24=TRUE,SUMIF('(backend scoring)'!$B$3:$B$333,$K24,'(backend scoring)'!$P$3:$P$333),"")</f>
        <v>0</v>
      </c>
      <c r="F24" s="145">
        <f>IFERROR($E24/$D24,'Auto Responses'!$J$5)</f>
        <v>0</v>
      </c>
      <c r="G24" s="222" t="str">
        <f t="shared" si="0"/>
        <v>Jump to Change Management</v>
      </c>
      <c r="H24" s="119"/>
      <c r="I24" s="123"/>
      <c r="K24" s="357" t="s">
        <v>891</v>
      </c>
    </row>
    <row r="25" spans="1:11" s="84" customFormat="1" ht="40.5" customHeight="1" x14ac:dyDescent="0.2">
      <c r="B25" s="85" t="str">
        <f>VLOOKUP($K25,'Auto Responses'!$N$4:$O$38,2,0)&amp;""</f>
        <v xml:space="preserve"> Policies, Processes, and Procedures</v>
      </c>
      <c r="C25" s="117" t="b">
        <v>1</v>
      </c>
      <c r="D25" s="111">
        <f>IF($C25=TRUE,SUMIF('(backend scoring)'!$B$3:$B$333,$K25,'(backend scoring)'!$O$3:$O$333),"")</f>
        <v>145</v>
      </c>
      <c r="E25" s="118">
        <f>IF($C25=TRUE,SUMIF('(backend scoring)'!$B$3:$B$333,$K25,'(backend scoring)'!$P$3:$P$333),"")</f>
        <v>0</v>
      </c>
      <c r="F25" s="145">
        <f>IFERROR($E25/$D25,'Auto Responses'!$J$5)</f>
        <v>0</v>
      </c>
      <c r="G25" s="222" t="str">
        <f t="shared" si="0"/>
        <v>Jump to Policies, Processes, and Procedures</v>
      </c>
      <c r="H25" s="119"/>
      <c r="I25" s="123"/>
      <c r="K25" s="357" t="s">
        <v>898</v>
      </c>
    </row>
    <row r="26" spans="1:11" s="84" customFormat="1" ht="40.5" customHeight="1" x14ac:dyDescent="0.2">
      <c r="B26" s="85" t="str">
        <f>VLOOKUP($K26,'Auto Responses'!$N$4:$O$38,2,0)&amp;""</f>
        <v xml:space="preserve"> Authentication, Authorization, and Account Management</v>
      </c>
      <c r="C26" s="117" t="b">
        <v>1</v>
      </c>
      <c r="D26" s="111">
        <f>IF($C26=TRUE,SUMIF('(backend scoring)'!$B$3:$B$333,$K26,'(backend scoring)'!$O$3:$O$333),"")</f>
        <v>250</v>
      </c>
      <c r="E26" s="118">
        <f>IF($C26=TRUE,SUMIF('(backend scoring)'!$B$3:$B$333,$K26,'(backend scoring)'!$P$3:$P$333),"")</f>
        <v>0</v>
      </c>
      <c r="F26" s="145">
        <f>IFERROR($E26/$D26,'Auto Responses'!$J$5)</f>
        <v>0</v>
      </c>
      <c r="G26" s="222" t="str">
        <f t="shared" si="0"/>
        <v>Jump to Authentication, Authorization, and Account Management</v>
      </c>
      <c r="H26" s="119"/>
      <c r="I26" s="123"/>
      <c r="K26" s="357" t="s">
        <v>890</v>
      </c>
    </row>
    <row r="27" spans="1:11" s="84" customFormat="1" ht="40.5" customHeight="1" x14ac:dyDescent="0.2">
      <c r="B27" s="85" t="str">
        <f>VLOOKUP($K27,'Auto Responses'!$N$4:$O$38,2,0)&amp;""</f>
        <v xml:space="preserve"> Data</v>
      </c>
      <c r="C27" s="117" t="b">
        <v>1</v>
      </c>
      <c r="D27" s="111">
        <f>IF($C27=TRUE,SUMIF('(backend scoring)'!$B$3:$B$333,$K27,'(backend scoring)'!$O$3:$O$333),"")</f>
        <v>280</v>
      </c>
      <c r="E27" s="118">
        <f>IF($C27=TRUE,SUMIF('(backend scoring)'!$B$3:$B$333,$K27,'(backend scoring)'!$P$3:$P$333),"")</f>
        <v>0</v>
      </c>
      <c r="F27" s="145">
        <f>IFERROR($E27/$D27,'Auto Responses'!$J$5)</f>
        <v>0</v>
      </c>
      <c r="G27" s="222" t="str">
        <f t="shared" si="0"/>
        <v>Jump to Data</v>
      </c>
      <c r="H27" s="119"/>
      <c r="I27" s="123"/>
      <c r="K27" s="357" t="s">
        <v>893</v>
      </c>
    </row>
    <row r="28" spans="1:11" s="84" customFormat="1" ht="40.5" customHeight="1" x14ac:dyDescent="0.2">
      <c r="B28" s="85" t="str">
        <f>VLOOKUP($K28,'Auto Responses'!$N$4:$O$38,2,0)&amp;""</f>
        <v xml:space="preserve"> Application/Service Security</v>
      </c>
      <c r="C28" s="117" t="b">
        <v>1</v>
      </c>
      <c r="D28" s="111">
        <f>IF($C28=TRUE,SUMIF('(backend scoring)'!$B$3:$B$333,$K28,'(backend scoring)'!$O$3:$O$333),"")</f>
        <v>200</v>
      </c>
      <c r="E28" s="118">
        <f>IF($C28=TRUE,SUMIF('(backend scoring)'!$B$3:$B$333,$K28,'(backend scoring)'!$P$3:$P$333),"")</f>
        <v>0</v>
      </c>
      <c r="F28" s="145">
        <f>IFERROR($E28/$D28,'Auto Responses'!$J$5)</f>
        <v>0</v>
      </c>
      <c r="G28" s="222" t="str">
        <f t="shared" si="0"/>
        <v>Jump to Application/Service Security</v>
      </c>
      <c r="H28" s="119"/>
      <c r="I28" s="123"/>
      <c r="K28" s="357" t="s">
        <v>888</v>
      </c>
    </row>
    <row r="29" spans="1:11" s="84" customFormat="1" ht="40.5" customHeight="1" x14ac:dyDescent="0.2">
      <c r="B29" s="85" t="str">
        <f>VLOOKUP($K29,'Auto Responses'!$N$4:$O$38,2,0)&amp;""</f>
        <v xml:space="preserve"> Datacenter</v>
      </c>
      <c r="C29" s="117" t="b">
        <v>1</v>
      </c>
      <c r="D29" s="111">
        <f>IF($C29=TRUE,SUMIF('(backend scoring)'!$B$3:$B$333,$K29,'(backend scoring)'!$O$3:$O$333),"")</f>
        <v>0</v>
      </c>
      <c r="E29" s="118">
        <f>IF($C29=TRUE,SUMIF('(backend scoring)'!$B$3:$B$333,$K29,'(backend scoring)'!$P$3:$P$333),"")</f>
        <v>0</v>
      </c>
      <c r="F29" s="145" t="str">
        <f>IFERROR($E29/$D29,'Auto Responses'!$J$5)</f>
        <v>N/A</v>
      </c>
      <c r="G29" s="222" t="str">
        <f t="shared" si="0"/>
        <v>Jump to Datacenter</v>
      </c>
      <c r="H29" s="119"/>
      <c r="I29" s="123"/>
      <c r="K29" s="357" t="s">
        <v>895</v>
      </c>
    </row>
    <row r="30" spans="1:11" s="84" customFormat="1" ht="40.5" customHeight="1" x14ac:dyDescent="0.2">
      <c r="B30" s="85" t="str">
        <f>VLOOKUP($K30,'Auto Responses'!$N$4:$O$38,2,0)&amp;""</f>
        <v xml:space="preserve"> Firewalls, IDS, IPS, and Networking</v>
      </c>
      <c r="C30" s="117" t="b">
        <v>1</v>
      </c>
      <c r="D30" s="111">
        <f>IF($C30=TRUE,SUMIF('(backend scoring)'!$B$3:$B$333,$K30,'(backend scoring)'!$O$3:$O$333),"")</f>
        <v>145</v>
      </c>
      <c r="E30" s="118">
        <f>IF($C30=TRUE,SUMIF('(backend scoring)'!$B$3:$B$333,$K30,'(backend scoring)'!$P$3:$P$333),"")</f>
        <v>0</v>
      </c>
      <c r="F30" s="145">
        <f>IFERROR($E30/$D30,'Auto Responses'!$J$5)</f>
        <v>0</v>
      </c>
      <c r="G30" s="222" t="str">
        <f t="shared" si="0"/>
        <v>Jump to Firewalls, IDS, IPS, and Networking</v>
      </c>
      <c r="H30" s="119"/>
      <c r="I30" s="123"/>
      <c r="K30" s="357" t="s">
        <v>897</v>
      </c>
    </row>
    <row r="31" spans="1:11" s="84" customFormat="1" ht="40.5" customHeight="1" x14ac:dyDescent="0.2">
      <c r="B31" s="85" t="str">
        <f>VLOOKUP($K31,'Auto Responses'!$N$4:$O$38,2,0)&amp;""</f>
        <v xml:space="preserve"> Incident Handling</v>
      </c>
      <c r="C31" s="117" t="b">
        <v>1</v>
      </c>
      <c r="D31" s="111">
        <f>IF($C31=TRUE,SUMIF('(backend scoring)'!$B$3:$B$333,$K31,'(backend scoring)'!$O$3:$O$333),"")</f>
        <v>25</v>
      </c>
      <c r="E31" s="118">
        <f>IF($C31=TRUE,SUMIF('(backend scoring)'!$B$3:$B$333,$K31,'(backend scoring)'!$P$3:$P$333),"")</f>
        <v>0</v>
      </c>
      <c r="F31" s="145">
        <f>IFERROR($E31/$D31,'Auto Responses'!$J$5)</f>
        <v>0</v>
      </c>
      <c r="G31" s="222" t="str">
        <f t="shared" si="0"/>
        <v>Jump to Incident Handling</v>
      </c>
      <c r="H31" s="119"/>
      <c r="I31" s="123"/>
      <c r="K31" s="357" t="s">
        <v>900</v>
      </c>
    </row>
    <row r="32" spans="1:11" s="84" customFormat="1" ht="40.5" customHeight="1" x14ac:dyDescent="0.2">
      <c r="B32" s="85" t="str">
        <f>VLOOKUP($K32,'Auto Responses'!$N$4:$O$38,2,0)&amp;""</f>
        <v xml:space="preserve"> Vulnerability Management</v>
      </c>
      <c r="C32" s="117" t="b">
        <v>1</v>
      </c>
      <c r="D32" s="111">
        <f>IF($C32=TRUE,SUMIF('(backend scoring)'!$B$3:$B$333,$K32,'(backend scoring)'!$O$3:$O$333),"")</f>
        <v>85</v>
      </c>
      <c r="E32" s="118">
        <f>IF($C32=TRUE,SUMIF('(backend scoring)'!$B$3:$B$333,$K32,'(backend scoring)'!$P$3:$P$333),"")</f>
        <v>0</v>
      </c>
      <c r="F32" s="145">
        <f>IFERROR($E32/$D32,'Auto Responses'!$J$5)</f>
        <v>0</v>
      </c>
      <c r="G32" s="222" t="str">
        <f t="shared" si="0"/>
        <v>Jump to Vulnerability Management</v>
      </c>
      <c r="H32" s="119"/>
      <c r="I32" s="123"/>
      <c r="K32" s="357" t="s">
        <v>902</v>
      </c>
    </row>
    <row r="33" spans="1:13" s="84" customFormat="1" ht="40.5" customHeight="1" x14ac:dyDescent="0.2">
      <c r="B33" s="85" t="str">
        <f>VLOOKUP($K33,'Auto Responses'!$N$4:$O$38,2,0)&amp;""</f>
        <v xml:space="preserve"> Consulting Services</v>
      </c>
      <c r="C33" s="117" t="b">
        <v>1</v>
      </c>
      <c r="D33" s="111">
        <f>IF($C33=TRUE,SUMIF('(backend scoring)'!$B$3:$B$333,$K33,'(backend scoring)'!$O$3:$O$333),"")</f>
        <v>130</v>
      </c>
      <c r="E33" s="118">
        <f>IF($C33=TRUE,SUMIF('(backend scoring)'!$B$3:$B$333,$K33,'(backend scoring)'!$P$3:$P$333),"")</f>
        <v>0</v>
      </c>
      <c r="F33" s="145">
        <f>IFERROR($E33/$D33,'Auto Responses'!$J$5)</f>
        <v>0</v>
      </c>
      <c r="G33" s="222" t="str">
        <f t="shared" si="0"/>
        <v>Jump to Consulting Services</v>
      </c>
      <c r="H33" s="119"/>
      <c r="I33" s="123"/>
      <c r="K33" s="357" t="s">
        <v>886</v>
      </c>
    </row>
    <row r="34" spans="1:13" s="84" customFormat="1" ht="40.5" customHeight="1" x14ac:dyDescent="0.2">
      <c r="B34" s="85" t="str">
        <f>VLOOKUP($K34,'Auto Responses'!$N$4:$O$38,2,0)&amp;""</f>
        <v xml:space="preserve">HIPAA Compliance </v>
      </c>
      <c r="C34" s="117" t="b">
        <v>1</v>
      </c>
      <c r="D34" s="111">
        <f>IF($C34=TRUE,SUMIF('(backend scoring)'!$B$3:$B$333,$K34,'(backend scoring)'!$O$3:$O$333),"")</f>
        <v>325</v>
      </c>
      <c r="E34" s="118">
        <f>IF($C34=TRUE,SUMIF('(backend scoring)'!$B$3:$B$333,$K34,'(backend scoring)'!$P$3:$P$333),"")</f>
        <v>0</v>
      </c>
      <c r="F34" s="145">
        <f>IFERROR($E34/$D34,'Auto Responses'!$J$5)</f>
        <v>0</v>
      </c>
      <c r="G34" s="222" t="str">
        <f t="shared" si="0"/>
        <v xml:space="preserve">Jump toHIPAA Compliance </v>
      </c>
      <c r="H34" s="119"/>
      <c r="I34" s="123"/>
      <c r="K34" s="357" t="s">
        <v>904</v>
      </c>
    </row>
    <row r="35" spans="1:13" s="84" customFormat="1" ht="40.5" customHeight="1" x14ac:dyDescent="0.2">
      <c r="B35" s="85" t="str">
        <f>VLOOKUP($K35,'Auto Responses'!$N$4:$O$38,2,0)&amp;""</f>
        <v xml:space="preserve"> Payment Card Industry Data Security Standard (PCI DSS)</v>
      </c>
      <c r="C35" s="117" t="b">
        <v>1</v>
      </c>
      <c r="D35" s="111">
        <f>IF($C35=TRUE,SUMIF('(backend scoring)'!$B$3:$B$333,$K35,'(backend scoring)'!$O$3:$O$333),"")</f>
        <v>115</v>
      </c>
      <c r="E35" s="118">
        <f>IF($C35=TRUE,SUMIF('(backend scoring)'!$B$3:$B$333,$K35,'(backend scoring)'!$P$3:$P$333),"")</f>
        <v>0</v>
      </c>
      <c r="F35" s="145">
        <f>IFERROR($E35/$D35,'Auto Responses'!$J$5)</f>
        <v>0</v>
      </c>
      <c r="G35" s="222" t="str">
        <f t="shared" si="0"/>
        <v>Jump to Payment Card Industry Data Security Standard (PCI DSS)</v>
      </c>
      <c r="H35" s="119"/>
      <c r="I35" s="123"/>
      <c r="K35" s="357" t="s">
        <v>905</v>
      </c>
    </row>
    <row r="36" spans="1:13" s="84" customFormat="1" ht="40.5" customHeight="1" x14ac:dyDescent="0.2">
      <c r="B36" s="85" t="str">
        <f>VLOOKUP($K36,'Auto Responses'!$N$4:$O$38,2,0)&amp;""</f>
        <v xml:space="preserve"> On-Premises Data Solutions</v>
      </c>
      <c r="C36" s="117" t="b">
        <v>1</v>
      </c>
      <c r="D36" s="111">
        <f>IF($C36=TRUE,SUMIF('(backend scoring)'!$B$3:$B$333,$K36,'(backend scoring)'!$O$3:$O$333),"")</f>
        <v>75</v>
      </c>
      <c r="E36" s="118">
        <f>IF($C36=TRUE,SUMIF('(backend scoring)'!$B$3:$B$333,$K36,'(backend scoring)'!$P$3:$P$333),"")</f>
        <v>0</v>
      </c>
      <c r="F36" s="145">
        <f>IFERROR($E36/$D36,'Auto Responses'!$J$5)</f>
        <v>0</v>
      </c>
      <c r="G36" s="222" t="str">
        <f t="shared" si="0"/>
        <v>Jump to On-Premises Data Solutions</v>
      </c>
      <c r="H36" s="119"/>
      <c r="I36" s="123"/>
      <c r="K36" s="357" t="s">
        <v>906</v>
      </c>
    </row>
    <row r="37" spans="1:13" s="84" customFormat="1" ht="40.5" customHeight="1" x14ac:dyDescent="0.2">
      <c r="B37" s="85" t="str">
        <f>VLOOKUP($K37,'Auto Responses'!$N$4:$O$38,2,0)&amp;""</f>
        <v xml:space="preserve"> IT Accessibility</v>
      </c>
      <c r="C37" s="117" t="b">
        <v>1</v>
      </c>
      <c r="D37" s="111">
        <f>IF($C37=TRUE,SUMIF('(backend scoring)'!$B$3:$B$333,$K37,'(backend scoring)'!$O$3:$O$333),"")</f>
        <v>170</v>
      </c>
      <c r="E37" s="118">
        <f>IF($C37=TRUE,SUMIF('(backend scoring)'!$B$3:$B$333,$K37,'(backend scoring)'!$P$3:$P$333),"")</f>
        <v>0</v>
      </c>
      <c r="F37" s="145">
        <f>IFERROR($E37/$D37,'Auto Responses'!$J$5)</f>
        <v>0</v>
      </c>
      <c r="G37" s="222" t="str">
        <f t="shared" si="0"/>
        <v>Jump to IT Accessibility</v>
      </c>
      <c r="H37" s="119"/>
      <c r="I37" s="123"/>
      <c r="K37" s="357" t="s">
        <v>882</v>
      </c>
    </row>
    <row r="38" spans="1:13" s="84" customFormat="1" ht="40.5" customHeight="1" x14ac:dyDescent="0.2">
      <c r="B38" s="85" t="s">
        <v>1052</v>
      </c>
      <c r="C38" s="117" t="b">
        <v>1</v>
      </c>
      <c r="D38" s="151">
        <f>IF($C38=TRUE,SUMIF('(backend scoring)'!$E$3:$E$333,'Auto Responses'!$L$20,'(backend scoring)'!$O$3:$O$333),"")</f>
        <v>405</v>
      </c>
      <c r="E38" s="151">
        <f>IF($C38=TRUE,SUMIF('(backend scoring)'!$E$3:$E$333,'Auto Responses'!$L$20,'(backend scoring)'!$P$3:$P$333),"")</f>
        <v>0</v>
      </c>
      <c r="F38" s="145">
        <f>IFERROR($E38/$D38,'Auto Responses'!$J$5)</f>
        <v>0</v>
      </c>
      <c r="G38" s="223" t="str">
        <f>"Jump to AI Questions"</f>
        <v>Jump to AI Questions</v>
      </c>
      <c r="H38" s="119"/>
      <c r="I38" s="123"/>
    </row>
    <row r="39" spans="1:13" s="84" customFormat="1" ht="40.5" customHeight="1" thickBot="1" x14ac:dyDescent="0.25">
      <c r="B39" s="147" t="s">
        <v>1053</v>
      </c>
      <c r="C39" s="148" t="b">
        <v>1</v>
      </c>
      <c r="D39" s="149">
        <f>IF($C39=TRUE,'Privacy Analyst Evaluation'!$D$31,"")</f>
        <v>540</v>
      </c>
      <c r="E39" s="149">
        <f>IF($C39=TRUE,'Privacy Analyst Evaluation'!$E$31,"")</f>
        <v>0</v>
      </c>
      <c r="F39" s="150">
        <f>IFERROR($E39/$D39,'Auto Responses'!$J$5)</f>
        <v>0</v>
      </c>
      <c r="G39" s="224" t="str">
        <f>"Jump to Privacy Scorecard"</f>
        <v>Jump to Privacy Scorecard</v>
      </c>
      <c r="H39" s="121"/>
      <c r="I39" s="124"/>
    </row>
    <row r="40" spans="1:13" s="84" customFormat="1" ht="30" customHeight="1" thickBot="1" x14ac:dyDescent="0.25">
      <c r="B40" s="83" t="s">
        <v>944</v>
      </c>
      <c r="C40" s="110"/>
      <c r="D40" s="112">
        <f>SUM(D21:D39)</f>
        <v>3240</v>
      </c>
      <c r="E40" s="112">
        <f>SUM(E21:E39)</f>
        <v>0</v>
      </c>
      <c r="F40" s="81">
        <f>IFERROR(E40/D40,'Auto Responses'!$J$5)</f>
        <v>0</v>
      </c>
      <c r="G40" s="128"/>
      <c r="H40" s="129"/>
      <c r="I40" s="130"/>
      <c r="J40" s="238" t="s">
        <v>1449</v>
      </c>
    </row>
    <row r="41" spans="1:13" ht="15" x14ac:dyDescent="0.2">
      <c r="F41" s="55" t="s">
        <v>943</v>
      </c>
    </row>
    <row r="42" spans="1:13" ht="15" x14ac:dyDescent="0.2"/>
    <row r="43" spans="1:13" ht="15" customHeight="1" x14ac:dyDescent="0.2"/>
    <row r="44" spans="1:13" s="23" customFormat="1" ht="36" customHeight="1" x14ac:dyDescent="0.2">
      <c r="A44" s="175" t="s">
        <v>870</v>
      </c>
      <c r="B44" s="175"/>
      <c r="C44" s="179"/>
      <c r="D44" s="175"/>
      <c r="E44" s="175"/>
      <c r="F44" s="175"/>
      <c r="G44" s="175"/>
      <c r="H44" s="175"/>
      <c r="I44" s="175"/>
      <c r="J44" s="175"/>
      <c r="K44" s="175"/>
      <c r="L44" s="55"/>
      <c r="M44" s="1"/>
    </row>
    <row r="45" spans="1:13" s="23" customFormat="1" ht="36" customHeight="1" x14ac:dyDescent="0.2">
      <c r="A45" s="24" t="s">
        <v>850</v>
      </c>
      <c r="B45" s="24"/>
      <c r="C45" s="69"/>
      <c r="D45" s="24"/>
      <c r="E45" s="24"/>
      <c r="F45" s="24"/>
      <c r="G45" s="24"/>
      <c r="H45" s="24"/>
      <c r="I45" s="24"/>
      <c r="J45" s="24"/>
      <c r="K45" s="24"/>
      <c r="L45" s="55"/>
      <c r="M45" s="1"/>
    </row>
    <row r="46" spans="1:13" s="1" customFormat="1" ht="36" customHeight="1" x14ac:dyDescent="0.2">
      <c r="A46" s="11" t="s">
        <v>866</v>
      </c>
      <c r="B46" s="12"/>
      <c r="C46" s="13"/>
      <c r="D46" s="14"/>
      <c r="E46" s="14"/>
      <c r="F46" s="15"/>
      <c r="G46" s="15"/>
      <c r="H46" s="15"/>
      <c r="I46" s="15"/>
      <c r="J46" s="15"/>
      <c r="K46" s="15"/>
      <c r="L46" s="55"/>
    </row>
    <row r="47" spans="1:13" s="1" customFormat="1" ht="19.5" customHeight="1" x14ac:dyDescent="0.2">
      <c r="A47" s="251" t="str">
        <f>HLOOKUP($A$4,'Auto Responses'!$F$2:$F$7,2,0)&amp;""</f>
        <v>1. Upon initial review, you can check the "Non-Negotiable" box by any question to compile a report of questions that may prohibit a full review.</v>
      </c>
      <c r="B47" s="61"/>
      <c r="C47" s="61"/>
      <c r="D47" s="61"/>
      <c r="E47" s="61"/>
      <c r="F47" s="61"/>
      <c r="G47" s="61"/>
      <c r="H47" s="61"/>
      <c r="I47" s="61"/>
      <c r="J47" s="61"/>
      <c r="K47" s="16"/>
      <c r="L47" s="55"/>
    </row>
    <row r="48" spans="1:13" s="1" customFormat="1" ht="19.5" customHeight="1" x14ac:dyDescent="0.2">
      <c r="A48" s="251" t="str">
        <f>HLOOKUP($A$4,'Auto Responses'!$F$2:$F$7,3,0)&amp;""</f>
        <v>2. When evaluating an answer, a default importance level has been set. You can use the "Importance Override" dropdown to override the default and adjust the value of the question.</v>
      </c>
      <c r="B48" s="61"/>
      <c r="C48" s="61"/>
      <c r="D48" s="61"/>
      <c r="E48" s="61"/>
      <c r="F48" s="61"/>
      <c r="G48" s="61"/>
      <c r="H48" s="61"/>
      <c r="I48" s="61"/>
      <c r="J48" s="61"/>
      <c r="K48" s="16"/>
      <c r="L48" s="55"/>
    </row>
    <row r="49" spans="1:13" s="1" customFormat="1" ht="19.5" customHeight="1" x14ac:dyDescent="0.2">
      <c r="A49" s="251" t="str">
        <f>HLOOKUP($A$4,'Auto Responses'!$F$2:$F$7,4,0)&amp;""</f>
        <v>3. For questions that are qualitative or for which you disagree with the preferred response, make a selection in the "Compliant Override" dropdown to adjust the question's impact on the score.</v>
      </c>
      <c r="B49" s="61"/>
      <c r="C49" s="61"/>
      <c r="D49" s="61"/>
      <c r="E49" s="61"/>
      <c r="F49" s="61"/>
      <c r="G49" s="61"/>
      <c r="H49" s="61"/>
      <c r="I49" s="61"/>
      <c r="J49" s="61"/>
      <c r="K49" s="16"/>
      <c r="L49" s="55"/>
    </row>
    <row r="50" spans="1:13" s="1" customFormat="1" ht="19.5" customHeight="1" x14ac:dyDescent="0.2">
      <c r="A50" s="251" t="str">
        <f>HLOOKUP($A$4,'Auto Responses'!$F$2:$F$7,5,0)&amp;""</f>
        <v xml:space="preserve">4. Each worksheet shows a report for that section. See the "Analyst Report" sheet for a full report of all sections. </v>
      </c>
      <c r="B50" s="61"/>
      <c r="C50" s="61"/>
      <c r="D50" s="61"/>
      <c r="E50" s="61"/>
      <c r="F50" s="61"/>
      <c r="G50" s="61"/>
      <c r="H50" s="61"/>
      <c r="I50" s="61"/>
      <c r="J50" s="61"/>
      <c r="K50" s="16"/>
      <c r="L50" s="55"/>
    </row>
    <row r="51" spans="1:13" s="1" customFormat="1" ht="19.5" customHeight="1" x14ac:dyDescent="0.2">
      <c r="A51" s="251" t="str">
        <f>HLOOKUP($A$4,'Auto Responses'!$F$2:$F$7,6,0)&amp;""</f>
        <v xml:space="preserve">5. If you are evaluating a question that appears in an earlier section, the Importance and Compliant Override cannot be changed but additional notes can be added. </v>
      </c>
      <c r="B51" s="61"/>
      <c r="C51" s="61"/>
      <c r="D51" s="61"/>
      <c r="E51" s="61"/>
      <c r="F51" s="61"/>
      <c r="G51" s="61"/>
      <c r="H51" s="61"/>
      <c r="I51" s="61"/>
      <c r="J51" s="61"/>
      <c r="K51" s="16"/>
      <c r="L51" s="55"/>
    </row>
    <row r="52" spans="1:13" s="1" customFormat="1" ht="19.5" customHeight="1" thickBot="1" x14ac:dyDescent="0.25">
      <c r="A52" s="252" t="str">
        <f>HLOOKUP($A$4,'Auto Responses'!$F$2:$F$8,7,0)&amp;""</f>
        <v>For full instructions, please visit EDUCAUSE.edu/HECVAT</v>
      </c>
      <c r="B52" s="61"/>
      <c r="C52" s="61"/>
      <c r="D52" s="61"/>
      <c r="E52" s="61"/>
      <c r="F52" s="61"/>
      <c r="G52" s="61"/>
      <c r="H52" s="61"/>
      <c r="I52" s="61"/>
      <c r="J52" s="61"/>
      <c r="K52" s="16"/>
      <c r="L52" s="55"/>
    </row>
    <row r="53" spans="1:13" s="23" customFormat="1" ht="41.25" customHeight="1" thickBot="1" x14ac:dyDescent="0.25">
      <c r="A53" s="25"/>
      <c r="B53" s="25"/>
      <c r="C53" s="70"/>
      <c r="D53" s="25"/>
      <c r="E53" s="25"/>
      <c r="F53" s="189" t="s">
        <v>849</v>
      </c>
      <c r="G53" s="182" t="s">
        <v>1034</v>
      </c>
      <c r="H53" s="183"/>
      <c r="I53" s="183"/>
      <c r="J53" s="183"/>
      <c r="K53" s="183"/>
      <c r="L53" s="55"/>
      <c r="M53" s="1"/>
    </row>
    <row r="54" spans="1:13" s="29" customFormat="1" ht="63" customHeight="1" thickBot="1" x14ac:dyDescent="0.25">
      <c r="A54" s="26" t="s">
        <v>851</v>
      </c>
      <c r="B54" s="27" t="s">
        <v>1</v>
      </c>
      <c r="C54" s="27" t="s">
        <v>1497</v>
      </c>
      <c r="D54" s="28" t="s">
        <v>72</v>
      </c>
      <c r="E54" s="307" t="s">
        <v>848</v>
      </c>
      <c r="F54" s="190" t="s">
        <v>1468</v>
      </c>
      <c r="G54" s="46" t="s">
        <v>869</v>
      </c>
      <c r="H54" s="43" t="s">
        <v>871</v>
      </c>
      <c r="I54" s="43" t="s">
        <v>19</v>
      </c>
      <c r="J54" s="44" t="s">
        <v>856</v>
      </c>
      <c r="K54" s="47" t="s">
        <v>867</v>
      </c>
      <c r="L54" s="55"/>
      <c r="M54" s="1"/>
    </row>
    <row r="55" spans="1:13" s="1" customFormat="1" ht="18" x14ac:dyDescent="0.2">
      <c r="A55" s="63" t="str">
        <f>VLOOKUP(LEFT($A56,4),'Auto Responses'!$N$4:$O$38,2,0)&amp;""</f>
        <v xml:space="preserve"> General Information</v>
      </c>
      <c r="B55" s="22"/>
      <c r="C55" s="31"/>
      <c r="D55" s="31"/>
      <c r="E55" s="329"/>
      <c r="F55" s="131" t="s">
        <v>1030</v>
      </c>
      <c r="G55" s="31"/>
      <c r="H55" s="31"/>
      <c r="I55" s="31"/>
      <c r="J55" s="31"/>
      <c r="K55" s="31"/>
      <c r="L55" s="55"/>
    </row>
    <row r="56" spans="1:13" s="29" customFormat="1" ht="15" x14ac:dyDescent="0.2">
      <c r="A56" s="19" t="str">
        <f>'START HERE'!$A$13</f>
        <v>GNRL-01</v>
      </c>
      <c r="B56" s="20" t="str">
        <f>VLOOKUP($A56,'START HERE'!$A$13:$E$36,2,0)&amp;""</f>
        <v>Solution Provider Name</v>
      </c>
      <c r="C56" s="303" t="str">
        <f>VLOOKUP($A56,'START HERE'!$A$13:$E$36,3,0)&amp;""</f>
        <v/>
      </c>
      <c r="D56" s="306" t="str">
        <f>IF(LEFT(VLOOKUP($A56,'START HERE'!$A$13:$E$36,5,0),21)='Auto Responses'!$A$32,'Auto Responses'!$A$33,VLOOKUP($A56,'START HERE'!$A$13:$E$36,4,0))&amp;""</f>
        <v/>
      </c>
      <c r="E56" s="328" t="str">
        <f>VLOOKUP($A56,'START HERE'!$A$13:$E$36,5,0)&amp;""</f>
        <v/>
      </c>
      <c r="F56" s="192"/>
      <c r="G56" s="30" t="str">
        <f>VLOOKUP($A56,Questions!$A$2:$X$333,21,0)&amp;""</f>
        <v>Not scored</v>
      </c>
      <c r="H56" s="185"/>
      <c r="I56" s="45" t="str">
        <f>VLOOKUP($A56,Questions!$A$2:$X$333,23,0)&amp;""</f>
        <v/>
      </c>
      <c r="J56" s="185"/>
      <c r="K56" s="75"/>
      <c r="L56" s="55"/>
      <c r="M56" s="1"/>
    </row>
    <row r="57" spans="1:13" s="29" customFormat="1" ht="15" x14ac:dyDescent="0.2">
      <c r="A57" s="19" t="str">
        <f>'START HERE'!$A$14</f>
        <v>GNRL-02</v>
      </c>
      <c r="B57" s="20" t="str">
        <f>VLOOKUP($A57,'START HERE'!$A$13:$E$36,2,0)&amp;""</f>
        <v>Solution Name</v>
      </c>
      <c r="C57" s="303" t="str">
        <f>VLOOKUP($A57,'START HERE'!$A$13:$E$36,3,0)&amp;""</f>
        <v/>
      </c>
      <c r="D57" s="306" t="str">
        <f>IF(LEFT(VLOOKUP($A57,'START HERE'!$A$13:$E$36,5,0),21)='Auto Responses'!$A$32,'Auto Responses'!$A$33,VLOOKUP($A57,'START HERE'!$A$13:$E$36,4,0))&amp;""</f>
        <v/>
      </c>
      <c r="E57" s="328" t="str">
        <f>VLOOKUP($A57,'START HERE'!$A$13:$E$36,5,0)&amp;""</f>
        <v/>
      </c>
      <c r="F57" s="192"/>
      <c r="G57" s="30" t="str">
        <f>VLOOKUP($A57,Questions!$A$2:$X$333,21,0)&amp;""</f>
        <v>Not scored</v>
      </c>
      <c r="H57" s="185"/>
      <c r="I57" s="45" t="str">
        <f>VLOOKUP($A57,Questions!$A$2:$X$333,23,0)&amp;""</f>
        <v/>
      </c>
      <c r="J57" s="185"/>
      <c r="K57" s="75"/>
      <c r="L57" s="55"/>
      <c r="M57" s="1"/>
    </row>
    <row r="58" spans="1:13" s="29" customFormat="1" ht="15" x14ac:dyDescent="0.2">
      <c r="A58" s="19" t="str">
        <f>'START HERE'!$A$15</f>
        <v>GNRL-03</v>
      </c>
      <c r="B58" s="20" t="str">
        <f>VLOOKUP($A58,'START HERE'!$A$13:$E$36,2,0)&amp;""</f>
        <v>Solution Description</v>
      </c>
      <c r="C58" s="303" t="str">
        <f>VLOOKUP($A58,'START HERE'!$A$13:$E$36,3,0)&amp;""</f>
        <v/>
      </c>
      <c r="D58" s="306" t="str">
        <f>IF(LEFT(VLOOKUP($A58,'START HERE'!$A$13:$E$36,5,0),21)='Auto Responses'!$A$32,'Auto Responses'!$A$33,VLOOKUP($A58,'START HERE'!$A$13:$E$36,4,0))&amp;""</f>
        <v/>
      </c>
      <c r="E58" s="328" t="str">
        <f>VLOOKUP($A58,'START HERE'!$A$13:$E$36,5,0)&amp;""</f>
        <v/>
      </c>
      <c r="F58" s="192"/>
      <c r="G58" s="30" t="str">
        <f>VLOOKUP($A58,Questions!$A$2:$X$333,21,0)&amp;""</f>
        <v>Not scored</v>
      </c>
      <c r="H58" s="185"/>
      <c r="I58" s="45" t="str">
        <f>VLOOKUP($A58,Questions!$A$2:$X$333,23,0)&amp;""</f>
        <v/>
      </c>
      <c r="J58" s="185"/>
      <c r="K58" s="75"/>
      <c r="L58" s="55"/>
      <c r="M58" s="1"/>
    </row>
    <row r="59" spans="1:13" s="29" customFormat="1" ht="15" x14ac:dyDescent="0.2">
      <c r="A59" s="19" t="str">
        <f>'START HERE'!$A$16</f>
        <v>GNRL-04</v>
      </c>
      <c r="B59" s="20" t="str">
        <f>VLOOKUP($A59,'START HERE'!$A$13:$E$36,2,0)&amp;""</f>
        <v>Solution Provider Contact Name</v>
      </c>
      <c r="C59" s="303" t="str">
        <f>VLOOKUP($A59,'START HERE'!$A$13:$E$36,3,0)&amp;""</f>
        <v/>
      </c>
      <c r="D59" s="306" t="str">
        <f>IF(LEFT(VLOOKUP($A59,'START HERE'!$A$13:$E$36,5,0),21)='Auto Responses'!$A$32,'Auto Responses'!$A$33,VLOOKUP($A59,'START HERE'!$A$13:$E$36,4,0))&amp;""</f>
        <v/>
      </c>
      <c r="E59" s="328" t="str">
        <f>VLOOKUP($A59,'START HERE'!$A$13:$E$36,5,0)&amp;""</f>
        <v/>
      </c>
      <c r="F59" s="192"/>
      <c r="G59" s="30" t="str">
        <f>VLOOKUP($A59,Questions!$A$2:$X$333,21,0)&amp;""</f>
        <v>Not scored</v>
      </c>
      <c r="H59" s="185"/>
      <c r="I59" s="45" t="str">
        <f>VLOOKUP($A59,Questions!$A$2:$X$333,23,0)&amp;""</f>
        <v/>
      </c>
      <c r="J59" s="185"/>
      <c r="K59" s="75"/>
      <c r="L59" s="55"/>
      <c r="M59" s="1"/>
    </row>
    <row r="60" spans="1:13" s="29" customFormat="1" ht="15" x14ac:dyDescent="0.2">
      <c r="A60" s="19" t="str">
        <f>'START HERE'!$A$17</f>
        <v>GNRL-05</v>
      </c>
      <c r="B60" s="20" t="str">
        <f>VLOOKUP($A60,'START HERE'!$A$13:$E$36,2,0)&amp;""</f>
        <v>Solution Provider Contact Title</v>
      </c>
      <c r="C60" s="303" t="str">
        <f>VLOOKUP($A60,'START HERE'!$A$13:$E$36,3,0)&amp;""</f>
        <v/>
      </c>
      <c r="D60" s="306" t="str">
        <f>IF(LEFT(VLOOKUP($A60,'START HERE'!$A$13:$E$36,5,0),21)='Auto Responses'!$A$32,'Auto Responses'!$A$33,VLOOKUP($A60,'START HERE'!$A$13:$E$36,4,0))&amp;""</f>
        <v/>
      </c>
      <c r="E60" s="328" t="str">
        <f>VLOOKUP($A60,'START HERE'!$A$13:$E$36,5,0)&amp;""</f>
        <v/>
      </c>
      <c r="F60" s="192"/>
      <c r="G60" s="30" t="str">
        <f>VLOOKUP($A60,Questions!$A$2:$X$333,21,0)&amp;""</f>
        <v>Not scored</v>
      </c>
      <c r="H60" s="185"/>
      <c r="I60" s="45" t="str">
        <f>VLOOKUP($A60,Questions!$A$2:$X$333,23,0)&amp;""</f>
        <v/>
      </c>
      <c r="J60" s="185"/>
      <c r="K60" s="75"/>
      <c r="L60" s="55"/>
      <c r="M60" s="1"/>
    </row>
    <row r="61" spans="1:13" s="29" customFormat="1" ht="15" x14ac:dyDescent="0.2">
      <c r="A61" s="19" t="str">
        <f>'START HERE'!$A$18</f>
        <v>GNRL-06</v>
      </c>
      <c r="B61" s="20" t="str">
        <f>VLOOKUP($A61,'START HERE'!$A$13:$E$36,2,0)&amp;""</f>
        <v>Solution Provider Contact Email</v>
      </c>
      <c r="C61" s="303" t="str">
        <f>VLOOKUP($A61,'START HERE'!$A$13:$E$36,3,0)&amp;""</f>
        <v/>
      </c>
      <c r="D61" s="306" t="str">
        <f>IF(LEFT(VLOOKUP($A61,'START HERE'!$A$13:$E$36,5,0),21)='Auto Responses'!$A$32,'Auto Responses'!$A$33,VLOOKUP($A61,'START HERE'!$A$13:$E$36,4,0))&amp;""</f>
        <v/>
      </c>
      <c r="E61" s="328" t="str">
        <f>VLOOKUP($A61,'START HERE'!$A$13:$E$36,5,0)&amp;""</f>
        <v/>
      </c>
      <c r="F61" s="192"/>
      <c r="G61" s="30" t="str">
        <f>VLOOKUP($A61,Questions!$A$2:$X$333,21,0)&amp;""</f>
        <v>Not scored</v>
      </c>
      <c r="H61" s="185"/>
      <c r="I61" s="45" t="str">
        <f>VLOOKUP($A61,Questions!$A$2:$X$333,23,0)&amp;""</f>
        <v/>
      </c>
      <c r="J61" s="185"/>
      <c r="K61" s="75"/>
      <c r="L61" s="55"/>
      <c r="M61" s="1"/>
    </row>
    <row r="62" spans="1:13" s="29" customFormat="1" ht="15" x14ac:dyDescent="0.2">
      <c r="A62" s="19" t="str">
        <f>'START HERE'!$A$19</f>
        <v>GNRL-07</v>
      </c>
      <c r="B62" s="20" t="str">
        <f>VLOOKUP($A62,'START HERE'!$A$13:$E$36,2,0)&amp;""</f>
        <v>Solution Provider Contact Phone Number</v>
      </c>
      <c r="C62" s="303" t="str">
        <f>VLOOKUP($A62,'START HERE'!$A$13:$E$36,3,0)&amp;""</f>
        <v/>
      </c>
      <c r="D62" s="306" t="str">
        <f>IF(LEFT(VLOOKUP($A62,'START HERE'!$A$13:$E$36,5,0),21)='Auto Responses'!$A$32,'Auto Responses'!$A$33,VLOOKUP($A62,'START HERE'!$A$13:$E$36,4,0))&amp;""</f>
        <v/>
      </c>
      <c r="E62" s="328" t="str">
        <f>VLOOKUP($A62,'START HERE'!$A$13:$E$36,5,0)&amp;""</f>
        <v/>
      </c>
      <c r="F62" s="192"/>
      <c r="G62" s="30" t="str">
        <f>VLOOKUP($A62,Questions!$A$2:$X$333,21,0)&amp;""</f>
        <v>Not scored</v>
      </c>
      <c r="H62" s="185"/>
      <c r="I62" s="45" t="str">
        <f>VLOOKUP($A62,Questions!$A$2:$X$333,23,0)&amp;""</f>
        <v/>
      </c>
      <c r="J62" s="185"/>
      <c r="K62" s="75"/>
      <c r="L62" s="55"/>
      <c r="M62" s="1"/>
    </row>
    <row r="63" spans="1:13" s="29" customFormat="1" ht="15" x14ac:dyDescent="0.2">
      <c r="A63" s="19" t="str">
        <f>'START HERE'!$A$20</f>
        <v>GNRL-08</v>
      </c>
      <c r="B63" s="20" t="str">
        <f>VLOOKUP($A63,'START HERE'!$A$13:$E$36,2,0)&amp;""</f>
        <v>Country of Company Headquarters</v>
      </c>
      <c r="C63" s="303" t="str">
        <f>VLOOKUP($A63,'START HERE'!$A$13:$E$36,3,0)&amp;""</f>
        <v/>
      </c>
      <c r="D63" s="306" t="str">
        <f>IF(LEFT(VLOOKUP($A63,'START HERE'!$A$13:$E$36,5,0),21)='Auto Responses'!$A$32,'Auto Responses'!$A$33,VLOOKUP($A63,'START HERE'!$A$13:$E$36,4,0))&amp;""</f>
        <v/>
      </c>
      <c r="E63" s="328" t="str">
        <f>VLOOKUP($A63,'START HERE'!$A$13:$E$36,5,0)&amp;""</f>
        <v/>
      </c>
      <c r="F63" s="192"/>
      <c r="G63" s="30" t="str">
        <f>VLOOKUP($A63,Questions!$A$2:$X$333,21,0)&amp;""</f>
        <v>Not scored</v>
      </c>
      <c r="H63" s="185"/>
      <c r="I63" s="45" t="str">
        <f>VLOOKUP($A63,Questions!$A$2:$X$333,23,0)&amp;""</f>
        <v/>
      </c>
      <c r="J63" s="185"/>
      <c r="K63" s="75"/>
      <c r="L63" s="55"/>
      <c r="M63" s="1"/>
    </row>
    <row r="64" spans="1:13" s="29" customFormat="1" ht="15" x14ac:dyDescent="0.2">
      <c r="A64" s="19" t="str">
        <f>'START HERE'!$A$21</f>
        <v>GNRL-09</v>
      </c>
      <c r="B64" s="20" t="str">
        <f>VLOOKUP($A64,'START HERE'!$A$13:$E$36,2,0)&amp;""</f>
        <v>Employee Work Locations (all)</v>
      </c>
      <c r="C64" s="303" t="str">
        <f>VLOOKUP($A64,'START HERE'!$A$13:$E$36,3,0)&amp;""</f>
        <v/>
      </c>
      <c r="D64" s="306" t="str">
        <f>IF(LEFT(VLOOKUP($A64,'START HERE'!$A$13:$E$36,5,0),21)='Auto Responses'!$A$32,'Auto Responses'!$A$33,VLOOKUP($A64,'START HERE'!$A$13:$E$36,4,0))&amp;""</f>
        <v/>
      </c>
      <c r="E64" s="328" t="str">
        <f>VLOOKUP($A64,'START HERE'!$A$13:$E$36,5,0)&amp;""</f>
        <v/>
      </c>
      <c r="F64" s="192"/>
      <c r="G64" s="30" t="str">
        <f>VLOOKUP($A64,Questions!$A$2:$X$333,21,0)&amp;""</f>
        <v>Not scored</v>
      </c>
      <c r="H64" s="185"/>
      <c r="I64" s="45" t="str">
        <f>VLOOKUP($A64,Questions!$A$2:$X$333,23,0)&amp;""</f>
        <v/>
      </c>
      <c r="J64" s="185"/>
      <c r="K64" s="75"/>
      <c r="L64" s="55"/>
      <c r="M64" s="1"/>
    </row>
    <row r="65" spans="1:13" s="1" customFormat="1" ht="18" x14ac:dyDescent="0.2">
      <c r="A65" s="63" t="str">
        <f>VLOOKUP(LEFT($A66,4),'Auto Responses'!$N$4:$O$38,2,0)&amp;""</f>
        <v xml:space="preserve"> Company Information</v>
      </c>
      <c r="B65" s="22"/>
      <c r="C65" s="31"/>
      <c r="D65" s="31"/>
      <c r="E65" s="329"/>
      <c r="F65" s="131" t="s">
        <v>1030</v>
      </c>
      <c r="G65" s="335" t="s">
        <v>869</v>
      </c>
      <c r="H65" s="335" t="s">
        <v>871</v>
      </c>
      <c r="I65" s="335" t="s">
        <v>19</v>
      </c>
      <c r="J65" s="335" t="s">
        <v>856</v>
      </c>
      <c r="K65" s="335" t="s">
        <v>867</v>
      </c>
      <c r="L65" s="55"/>
    </row>
    <row r="66" spans="1:13" s="29" customFormat="1" ht="28.5" x14ac:dyDescent="0.2">
      <c r="A66" s="19" t="str">
        <f>'START HERE'!$A$23</f>
        <v>COMP-01</v>
      </c>
      <c r="B66" s="20" t="str">
        <f>VLOOKUP($A66,'START HERE'!$A$13:$E$36,2,0)&amp;""</f>
        <v>Do you have a dedicated software and system development team(s) (e.g., customer support, implementation, product management, etc.)?*</v>
      </c>
      <c r="C66" s="45" t="str">
        <f>VLOOKUP($A66,'START HERE'!$A$13:$E$36,3,0)&amp;""</f>
        <v/>
      </c>
      <c r="D66" s="34" t="str">
        <f>IF(LEFT(VLOOKUP($A66,'START HERE'!$A$13:$E$36,5,0),21)='Auto Responses'!$A$32,'Auto Responses'!$A$33,VLOOKUP($A66,'START HERE'!$A$13:$E$36,4,0))&amp;""</f>
        <v/>
      </c>
      <c r="E66" s="332" t="str">
        <f>VLOOKUP($A66,'START HERE'!$A$13:$E$36,5,0)&amp;""</f>
        <v/>
      </c>
      <c r="F66" s="192"/>
      <c r="G66" s="30" t="str">
        <f>VLOOKUP($A66,Questions!$A$2:$X$333,21,0)&amp;""</f>
        <v>Yes</v>
      </c>
      <c r="H66" s="185"/>
      <c r="I66" s="45" t="str">
        <f>VLOOKUP($A66,Questions!$A$2:$X$333,23,0)&amp;""</f>
        <v>Standard Importance</v>
      </c>
      <c r="J66" s="185"/>
      <c r="K66" s="48" t="b">
        <v>0</v>
      </c>
      <c r="L66" s="55"/>
      <c r="M66" s="1"/>
    </row>
    <row r="67" spans="1:13" s="29" customFormat="1" ht="75" x14ac:dyDescent="0.2">
      <c r="A67" s="19" t="str">
        <f>'START HERE'!$A$24</f>
        <v>COMP-02</v>
      </c>
      <c r="B67" s="20" t="str">
        <f>VLOOKUP($A67,'START HERE'!$A$13:$E$36,2,0)&amp;""</f>
        <v>Describe your organization’s business background and ownership structure, including all parent and subsidiary relationships.</v>
      </c>
      <c r="C67" s="305" t="str">
        <f>VLOOKUP($A67,'START HERE'!$A$13:$E$36,3,0)&amp;""</f>
        <v/>
      </c>
      <c r="D67" s="306" t="str">
        <f>IF(LEFT(VLOOKUP($A67,'START HERE'!$A$13:$E$36,5,0),21)='Auto Responses'!$A$32,'Auto Responses'!$A$33,VLOOKUP($A67,'START HERE'!$A$13:$E$36,4,0))&amp;""</f>
        <v/>
      </c>
      <c r="E67" s="332" t="str">
        <f>VLOOKUP($A67,'START HERE'!$A$13:$E$36,5,0)&amp;""</f>
        <v>Include circumstances that may involve offshoring or multinational agreements.</v>
      </c>
      <c r="F67" s="192"/>
      <c r="G67" s="30" t="str">
        <f>VLOOKUP($A67,Questions!$A$2:$X$333,21,0)&amp;""</f>
        <v>Not scored</v>
      </c>
      <c r="H67" s="185"/>
      <c r="I67" s="45" t="str">
        <f>VLOOKUP($A67,Questions!$A$2:$X$333,23,0)&amp;""</f>
        <v/>
      </c>
      <c r="J67" s="185"/>
      <c r="K67" s="48" t="b">
        <v>0</v>
      </c>
      <c r="L67" s="55"/>
      <c r="M67" s="1"/>
    </row>
    <row r="68" spans="1:13" s="29" customFormat="1" ht="28.5" x14ac:dyDescent="0.2">
      <c r="A68" s="19" t="str">
        <f>'START HERE'!$A$25</f>
        <v>COMP-03</v>
      </c>
      <c r="B68" s="20" t="str">
        <f>VLOOKUP($A68,'START HERE'!$A$13:$E$36,2,0)&amp;""</f>
        <v>Have you operated without unplanned disruptions to this solution in the past 12 months?</v>
      </c>
      <c r="C68" s="45" t="str">
        <f>VLOOKUP($A68,'START HERE'!$A$13:$E$36,3,0)&amp;""</f>
        <v/>
      </c>
      <c r="D68" s="34" t="str">
        <f>IF(LEFT(VLOOKUP($A68,'START HERE'!$A$13:$E$36,5,0),21)='Auto Responses'!$A$32,'Auto Responses'!$A$33,VLOOKUP($A68,'START HERE'!$A$13:$E$36,4,0))&amp;""</f>
        <v/>
      </c>
      <c r="E68" s="332" t="str">
        <f>VLOOKUP($A68,'START HERE'!$A$13:$E$36,5,0)&amp;""</f>
        <v/>
      </c>
      <c r="F68" s="192"/>
      <c r="G68" s="30" t="str">
        <f>VLOOKUP($A68,Questions!$A$2:$X$333,21,0)&amp;""</f>
        <v>Yes</v>
      </c>
      <c r="H68" s="185"/>
      <c r="I68" s="45" t="str">
        <f>VLOOKUP($A68,Questions!$A$2:$X$333,23,0)&amp;""</f>
        <v>Minor Importance</v>
      </c>
      <c r="J68" s="185"/>
      <c r="K68" s="48" t="b">
        <v>0</v>
      </c>
      <c r="L68" s="55"/>
      <c r="M68" s="1"/>
    </row>
    <row r="69" spans="1:13" s="29" customFormat="1" ht="15" x14ac:dyDescent="0.2">
      <c r="A69" s="19" t="str">
        <f>'START HERE'!$A$26</f>
        <v>COMP-04</v>
      </c>
      <c r="B69" s="20" t="str">
        <f>VLOOKUP($A69,'START HERE'!$A$13:$E$36,2,0)&amp;""</f>
        <v>Do you have a dedicated information security staff or office?</v>
      </c>
      <c r="C69" s="45" t="str">
        <f>VLOOKUP($A69,'START HERE'!$A$13:$E$36,3,0)&amp;""</f>
        <v/>
      </c>
      <c r="D69" s="34" t="str">
        <f>IF(LEFT(VLOOKUP($A69,'START HERE'!$A$13:$E$36,5,0),21)='Auto Responses'!$A$32,'Auto Responses'!$A$33,VLOOKUP($A69,'START HERE'!$A$13:$E$36,4,0))&amp;""</f>
        <v/>
      </c>
      <c r="E69" s="332" t="str">
        <f>VLOOKUP($A69,'START HERE'!$A$13:$E$36,5,0)&amp;""</f>
        <v/>
      </c>
      <c r="F69" s="192"/>
      <c r="G69" s="30" t="str">
        <f>VLOOKUP($A69,Questions!$A$2:$X$333,21,0)&amp;""</f>
        <v>Yes</v>
      </c>
      <c r="H69" s="185"/>
      <c r="I69" s="45" t="str">
        <f>VLOOKUP($A69,Questions!$A$2:$X$333,23,0)&amp;""</f>
        <v>Minor Importance</v>
      </c>
      <c r="J69" s="185"/>
      <c r="K69" s="48" t="b">
        <v>0</v>
      </c>
      <c r="L69" s="55"/>
      <c r="M69" s="1"/>
    </row>
    <row r="70" spans="1:13" s="29" customFormat="1" ht="75" x14ac:dyDescent="0.2">
      <c r="A70" s="19" t="str">
        <f>'START HERE'!$A$27</f>
        <v>COMP-05</v>
      </c>
      <c r="B70" s="20" t="str">
        <f>VLOOKUP($A70,'START HERE'!$A$13:$E$36,2,0)&amp;""</f>
        <v>Use this area to share information about your environment that will assist those who are assessing your company's data security program.</v>
      </c>
      <c r="C70" s="305" t="str">
        <f>VLOOKUP($A70,'START HERE'!$A$13:$E$36,3,0)&amp;""</f>
        <v/>
      </c>
      <c r="D70" s="306" t="str">
        <f>IF(LEFT(VLOOKUP($A70,'START HERE'!$A$13:$E$36,5,0),21)='Auto Responses'!$A$32,'Auto Responses'!$A$33,VLOOKUP($A70,'START HERE'!$A$13:$E$36,4,0))&amp;""</f>
        <v/>
      </c>
      <c r="E70" s="332" t="str">
        <f>VLOOKUP($A70,'START HERE'!$A$13:$E$36,5,0)&amp;""</f>
        <v>Share any details that would help information security analysts assess your solution.</v>
      </c>
      <c r="F70" s="192"/>
      <c r="G70" s="30" t="str">
        <f>VLOOKUP($A70,Questions!$A$2:$X$333,21,0)&amp;""</f>
        <v>Not scored</v>
      </c>
      <c r="H70" s="185"/>
      <c r="I70" s="45" t="b">
        <f>A2=VLOOKUP($A70,Questions!$A$2:$X$333,23,0)&amp;""</f>
        <v>0</v>
      </c>
      <c r="J70" s="185"/>
      <c r="K70" s="48" t="b">
        <v>0</v>
      </c>
      <c r="L70" s="55"/>
      <c r="M70" s="1"/>
    </row>
    <row r="71" spans="1:13" s="1" customFormat="1" ht="18.75" thickBot="1" x14ac:dyDescent="0.25">
      <c r="A71" s="63" t="str">
        <f>VLOOKUP(LEFT($A72,4),'Auto Responses'!$N$4:$O$38,2,0)&amp;""</f>
        <v xml:space="preserve"> Required Questions</v>
      </c>
      <c r="B71" s="22"/>
      <c r="C71" s="31"/>
      <c r="D71" s="31"/>
      <c r="E71" s="331"/>
      <c r="F71" s="131" t="s">
        <v>1030</v>
      </c>
      <c r="G71" s="335" t="s">
        <v>869</v>
      </c>
      <c r="H71" s="335" t="s">
        <v>871</v>
      </c>
      <c r="I71" s="335" t="s">
        <v>19</v>
      </c>
      <c r="J71" s="335" t="s">
        <v>856</v>
      </c>
      <c r="K71" s="335" t="s">
        <v>867</v>
      </c>
      <c r="L71" s="55"/>
    </row>
    <row r="72" spans="1:13" s="29" customFormat="1" ht="75" x14ac:dyDescent="0.2">
      <c r="A72" s="19" t="str">
        <f>'START HERE'!$A$29</f>
        <v>REQU-01</v>
      </c>
      <c r="B72" s="20" t="str">
        <f>VLOOKUP($A72,'START HERE'!$A$13:$E$36,2,0)&amp;""</f>
        <v>Are you offering a cloud-based product?</v>
      </c>
      <c r="C72" s="45" t="str">
        <f>VLOOKUP($A72,'START HERE'!$A$13:$E$36,3,0)&amp;""</f>
        <v/>
      </c>
      <c r="D72" s="34" t="str">
        <f>IF(LEFT(VLOOKUP($A72,'START HERE'!$A$13:$E$36,5,0),21)='Auto Responses'!$A$32,'Auto Responses'!$A$33,VLOOKUP($A72,'START HERE'!$A$13:$E$36,4,0))&amp;""</f>
        <v/>
      </c>
      <c r="E72" s="330" t="str">
        <f>VLOOKUP($A72,'START HERE'!$A$13:$E$36,5,0)&amp;""</f>
        <v>If you are only offering a service, or are offering a product that is not cloud-based, answer "no".</v>
      </c>
      <c r="F72" s="193"/>
      <c r="G72" s="30" t="str">
        <f>VLOOKUP($A72,Questions!$A$2:$X$333,21,0)&amp;""</f>
        <v>Not scored</v>
      </c>
      <c r="H72" s="185"/>
      <c r="I72" s="45" t="str">
        <f>VLOOKUP($A72,Questions!$A$2:$X$333,23,0)&amp;""</f>
        <v/>
      </c>
      <c r="J72" s="185"/>
      <c r="K72" s="154" t="b">
        <v>0</v>
      </c>
      <c r="L72" s="55"/>
      <c r="M72" s="1"/>
    </row>
    <row r="73" spans="1:13" s="29" customFormat="1" ht="90" x14ac:dyDescent="0.2">
      <c r="A73" s="19" t="str">
        <f>'START HERE'!$A$30</f>
        <v>REQU-02</v>
      </c>
      <c r="B73" s="20" t="str">
        <f>VLOOKUP($A73,'START HERE'!$A$13:$E$36,2,0)&amp;""</f>
        <v>Does your product or service have an interface?</v>
      </c>
      <c r="C73" s="45" t="str">
        <f>VLOOKUP($A73,'START HERE'!$A$13:$E$36,3,0)&amp;""</f>
        <v/>
      </c>
      <c r="D73" s="34" t="str">
        <f>IF(LEFT(VLOOKUP($A73,'START HERE'!$A$13:$E$36,5,0),21)='Auto Responses'!$A$32,'Auto Responses'!$A$33,VLOOKUP($A73,'START HERE'!$A$13:$E$36,4,0))&amp;""</f>
        <v/>
      </c>
      <c r="E73" s="330" t="str">
        <f>VLOOKUP($A73,'START HERE'!$A$13:$E$36,5,0)&amp;""</f>
        <v>This includes any interface for end users and interfaces used by administrators at the institution.</v>
      </c>
      <c r="F73" s="188"/>
      <c r="G73" s="30" t="str">
        <f>VLOOKUP($A73,Questions!$A$2:$X$333,21,0)&amp;""</f>
        <v>Not scored</v>
      </c>
      <c r="H73" s="185"/>
      <c r="I73" s="45" t="str">
        <f>VLOOKUP($A73,Questions!$A$2:$X$333,23,0)&amp;""</f>
        <v/>
      </c>
      <c r="J73" s="185"/>
      <c r="K73" s="48" t="b">
        <v>0</v>
      </c>
      <c r="L73" s="55"/>
      <c r="M73" s="1"/>
    </row>
    <row r="74" spans="1:13" s="29" customFormat="1" ht="15" x14ac:dyDescent="0.2">
      <c r="A74" s="19" t="str">
        <f>'START HERE'!$A$31</f>
        <v>REQU-03</v>
      </c>
      <c r="B74" s="20" t="str">
        <f>VLOOKUP($A74,'START HERE'!$A$13:$E$36,2,0)&amp;""</f>
        <v>Are you providing consulting services?</v>
      </c>
      <c r="C74" s="45" t="str">
        <f>VLOOKUP($A74,'START HERE'!$A$13:$E$36,3,0)&amp;""</f>
        <v/>
      </c>
      <c r="D74" s="34" t="str">
        <f>IF(LEFT(VLOOKUP($A74,'START HERE'!$A$13:$E$36,5,0),21)='Auto Responses'!$A$32,'Auto Responses'!$A$33,VLOOKUP($A74,'START HERE'!$A$13:$E$36,4,0))&amp;""</f>
        <v/>
      </c>
      <c r="E74" s="330" t="str">
        <f>VLOOKUP($A74,'START HERE'!$A$13:$E$36,5,0)&amp;""</f>
        <v/>
      </c>
      <c r="F74" s="188"/>
      <c r="G74" s="30" t="str">
        <f>VLOOKUP($A74,Questions!$A$2:$X$333,21,0)&amp;""</f>
        <v>Not scored</v>
      </c>
      <c r="H74" s="185"/>
      <c r="I74" s="45" t="str">
        <f>VLOOKUP($A74,Questions!$A$2:$X$333,23,0)&amp;""</f>
        <v/>
      </c>
      <c r="J74" s="185"/>
      <c r="K74" s="48" t="b">
        <v>0</v>
      </c>
      <c r="L74" s="55"/>
      <c r="M74" s="1"/>
    </row>
    <row r="75" spans="1:13" s="29" customFormat="1" ht="28.5" x14ac:dyDescent="0.2">
      <c r="A75" s="19" t="str">
        <f>'START HERE'!$A$32</f>
        <v>REQU-04</v>
      </c>
      <c r="B75" s="20" t="str">
        <f>VLOOKUP($A75,'START HERE'!$A$13:$E$36,2,0)&amp;""</f>
        <v>Does your solution have AI features, or are there plans to implement AI features in the next 12 months?</v>
      </c>
      <c r="C75" s="45" t="str">
        <f>VLOOKUP($A75,'START HERE'!$A$13:$E$36,3,0)&amp;""</f>
        <v/>
      </c>
      <c r="D75" s="34" t="str">
        <f>IF(LEFT(VLOOKUP($A75,'START HERE'!$A$13:$E$36,5,0),21)='Auto Responses'!$A$32,'Auto Responses'!$A$33,VLOOKUP($A75,'START HERE'!$A$13:$E$36,4,0))&amp;""</f>
        <v/>
      </c>
      <c r="E75" s="330" t="str">
        <f>VLOOKUP($A75,'START HERE'!$A$13:$E$36,5,0)&amp;""</f>
        <v/>
      </c>
      <c r="F75" s="188"/>
      <c r="G75" s="30" t="str">
        <f>VLOOKUP($A75,Questions!$A$2:$X$333,21,0)&amp;""</f>
        <v>Not scored</v>
      </c>
      <c r="H75" s="185"/>
      <c r="I75" s="45" t="str">
        <f>VLOOKUP($A75,Questions!$A$2:$X$333,23,0)&amp;""</f>
        <v/>
      </c>
      <c r="J75" s="185"/>
      <c r="K75" s="48" t="b">
        <v>0</v>
      </c>
      <c r="L75" s="55"/>
      <c r="M75" s="1"/>
    </row>
    <row r="76" spans="1:13" s="29" customFormat="1" ht="90" x14ac:dyDescent="0.2">
      <c r="A76" s="19" t="str">
        <f>'START HERE'!$A$33</f>
        <v>REQU-05</v>
      </c>
      <c r="B76" s="20" t="str">
        <f>VLOOKUP($A76,'START HERE'!$A$13:$E$36,2,0)&amp;""</f>
        <v>Does your solution process protected health information (PHI) or any data covered by the Health Insurance Portability and Accountability Act (HIPAA)?</v>
      </c>
      <c r="C76" s="45" t="str">
        <f>VLOOKUP($A76,'START HERE'!$A$13:$E$36,3,0)&amp;""</f>
        <v/>
      </c>
      <c r="D76" s="34" t="str">
        <f>IF(LEFT(VLOOKUP($A76,'START HERE'!$A$13:$E$36,5,0),21)='Auto Responses'!$A$32,'Auto Responses'!$A$33,VLOOKUP($A76,'START HERE'!$A$13:$E$36,4,0))&amp;""</f>
        <v/>
      </c>
      <c r="E76" s="330" t="str">
        <f>VLOOKUP($A76,'START HERE'!$A$13:$E$36,5,0)&amp;""</f>
        <v>Answer "yes" if your solution handles personal health information (PHI), either directly or via a third party.</v>
      </c>
      <c r="F76" s="188"/>
      <c r="G76" s="30" t="str">
        <f>VLOOKUP($A76,Questions!$A$2:$X$333,21,0)&amp;""</f>
        <v>Not scored</v>
      </c>
      <c r="H76" s="185"/>
      <c r="I76" s="45" t="str">
        <f>VLOOKUP($A76,Questions!$A$2:$X$333,23,0)&amp;""</f>
        <v/>
      </c>
      <c r="J76" s="185"/>
      <c r="K76" s="48" t="b">
        <v>0</v>
      </c>
      <c r="L76" s="55"/>
      <c r="M76" s="1"/>
    </row>
    <row r="77" spans="1:13" s="29" customFormat="1" ht="90" x14ac:dyDescent="0.2">
      <c r="A77" s="19" t="str">
        <f>'START HERE'!$A$34</f>
        <v>REQU-06</v>
      </c>
      <c r="B77" s="20" t="str">
        <f>VLOOKUP($A77,'START HERE'!$A$13:$E$36,2,0)&amp;""</f>
        <v>Is the solution designed to process, store, or transmit credit card information?</v>
      </c>
      <c r="C77" s="45" t="str">
        <f>VLOOKUP($A77,'START HERE'!$A$13:$E$36,3,0)&amp;""</f>
        <v/>
      </c>
      <c r="D77" s="34" t="str">
        <f>IF(LEFT(VLOOKUP($A77,'START HERE'!$A$13:$E$36,5,0),21)='Auto Responses'!$A$32,'Auto Responses'!$A$33,VLOOKUP($A77,'START HERE'!$A$13:$E$36,4,0))&amp;""</f>
        <v/>
      </c>
      <c r="E77" s="330" t="str">
        <f>VLOOKUP($A77,'START HERE'!$A$13:$E$36,5,0)&amp;""</f>
        <v>Answer yes if your solution handles PCI (credit card) information, either directly or via a third party.</v>
      </c>
      <c r="F77" s="188"/>
      <c r="G77" s="30" t="str">
        <f>VLOOKUP($A77,Questions!$A$2:$X$333,21,0)&amp;""</f>
        <v>Not scored</v>
      </c>
      <c r="H77" s="185"/>
      <c r="I77" s="45" t="str">
        <f>VLOOKUP($A77,Questions!$A$2:$X$333,23,0)&amp;""</f>
        <v/>
      </c>
      <c r="J77" s="185"/>
      <c r="K77" s="48" t="b">
        <v>0</v>
      </c>
      <c r="L77" s="55"/>
      <c r="M77" s="1"/>
    </row>
    <row r="78" spans="1:13" s="29" customFormat="1" ht="57" x14ac:dyDescent="0.2">
      <c r="A78" s="19" t="str">
        <f>'START HERE'!$A$35</f>
        <v>REQU-07</v>
      </c>
      <c r="B78" s="20"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45" t="str">
        <f>VLOOKUP($A78,'START HERE'!$A$13:$E$36,3,0)&amp;""</f>
        <v/>
      </c>
      <c r="D78" s="34" t="str">
        <f>IF(LEFT(VLOOKUP($A78,'START HERE'!$A$13:$E$36,5,0),21)='Auto Responses'!$A$32,'Auto Responses'!$A$33,VLOOKUP($A78,'START HERE'!$A$13:$E$36,4,0))&amp;""</f>
        <v/>
      </c>
      <c r="E78" s="330" t="str">
        <f>VLOOKUP($A78,'START HERE'!$A$13:$E$36,5,0)&amp;""</f>
        <v/>
      </c>
      <c r="F78" s="188"/>
      <c r="G78" s="30" t="str">
        <f>VLOOKUP($A78,Questions!$A$2:$X$333,21,0)&amp;""</f>
        <v>Not scored</v>
      </c>
      <c r="H78" s="185"/>
      <c r="I78" s="45" t="str">
        <f>VLOOKUP($A78,Questions!$A$2:$X$333,23,0)&amp;""</f>
        <v/>
      </c>
      <c r="J78" s="185"/>
      <c r="K78" s="48" t="b">
        <v>0</v>
      </c>
      <c r="L78" s="55"/>
      <c r="M78" s="1"/>
    </row>
    <row r="79" spans="1:13" s="29" customFormat="1" ht="75.75" thickBot="1" x14ac:dyDescent="0.25">
      <c r="A79" s="19" t="str">
        <f>'START HERE'!$A$36</f>
        <v>REQU-08</v>
      </c>
      <c r="B79" s="20" t="str">
        <f>VLOOKUP($A79,'START HERE'!$A$13:$E$36,2,0)&amp;""</f>
        <v>Does your solution have access to personal or institutional data?</v>
      </c>
      <c r="C79" s="45" t="str">
        <f>VLOOKUP($A79,'START HERE'!$A$13:$E$36,3,0)&amp;""</f>
        <v/>
      </c>
      <c r="D79" s="34" t="str">
        <f>IF(LEFT(VLOOKUP($A79,'START HERE'!$A$13:$E$36,5,0),21)='Auto Responses'!$A$32,'Auto Responses'!$A$33,VLOOKUP($A79,'START HERE'!$A$13:$E$36,4,0))&amp;""</f>
        <v/>
      </c>
      <c r="E79" s="330" t="str">
        <f>VLOOKUP($A79,'START HERE'!$A$13:$E$36,5,0)&amp;""</f>
        <v>This includes patient data, student data, employment data, human research data, financial data, etc.</v>
      </c>
      <c r="F79" s="194"/>
      <c r="G79" s="30" t="str">
        <f>VLOOKUP($A79,Questions!$A$2:$X$333,21,0)&amp;""</f>
        <v>Not scored</v>
      </c>
      <c r="H79" s="185"/>
      <c r="I79" s="45" t="str">
        <f>VLOOKUP($A79,Questions!$A$2:$X$333,23,0)&amp;""</f>
        <v/>
      </c>
      <c r="J79" s="185"/>
      <c r="K79" s="152" t="b">
        <v>0</v>
      </c>
      <c r="L79" s="55"/>
      <c r="M79" s="1"/>
    </row>
    <row r="80" spans="1:13" s="1" customFormat="1" ht="18" x14ac:dyDescent="0.2">
      <c r="A80" s="63" t="str">
        <f>VLOOKUP(LEFT($A81,4),'Auto Responses'!$N$4:$O$38,2,0)&amp;""</f>
        <v xml:space="preserve"> Documentation</v>
      </c>
      <c r="B80" s="22"/>
      <c r="C80" s="31"/>
      <c r="D80" s="31"/>
      <c r="E80" s="331"/>
      <c r="F80" s="131" t="s">
        <v>1030</v>
      </c>
      <c r="G80" s="335" t="s">
        <v>869</v>
      </c>
      <c r="H80" s="335" t="s">
        <v>871</v>
      </c>
      <c r="I80" s="335" t="s">
        <v>19</v>
      </c>
      <c r="J80" s="335" t="s">
        <v>856</v>
      </c>
      <c r="K80" s="335" t="s">
        <v>867</v>
      </c>
    </row>
    <row r="81" spans="1:12" s="29" customFormat="1" ht="28.5" x14ac:dyDescent="0.2">
      <c r="A81" s="19" t="str">
        <f>Organization!$A$22</f>
        <v>DOCU-01</v>
      </c>
      <c r="B81" s="20" t="str">
        <f>VLOOKUP($A81,Organization!$A$13:$E$67,2,0)&amp;""</f>
        <v>Do you have a well-documented business continuity plan (BCP), with a clear owner, that is tested annually?*</v>
      </c>
      <c r="C81" s="45" t="str">
        <f>VLOOKUP($A81,Organization!$A$13:$E$67,3,0)&amp;""</f>
        <v/>
      </c>
      <c r="D81" s="34" t="str">
        <f>IF(LEFT(VLOOKUP($A81,Organization!$A$13:$E$67,5,0),21)='Auto Responses'!$A$32,'Auto Responses'!$A$33,VLOOKUP($A81,Organization!$A$13:$E$67,4,0))&amp;""</f>
        <v/>
      </c>
      <c r="E81" s="330" t="str">
        <f>VLOOKUP($A81,Organization!$A$13:$E$67,5,0)&amp;""</f>
        <v/>
      </c>
      <c r="F81" s="195"/>
      <c r="G81" s="30" t="str">
        <f>VLOOKUP($A81,Questions!$A$2:$X$333,21,0)&amp;""</f>
        <v>Yes</v>
      </c>
      <c r="H81" s="185"/>
      <c r="I81" s="45" t="str">
        <f>VLOOKUP($A81,Questions!$A$2:$X$333,23,0)&amp;""</f>
        <v>Critical Importance</v>
      </c>
      <c r="J81" s="185"/>
      <c r="K81" s="48" t="b">
        <v>0</v>
      </c>
      <c r="L81" s="1"/>
    </row>
    <row r="82" spans="1:12" s="29" customFormat="1" ht="28.5" x14ac:dyDescent="0.2">
      <c r="A82" s="19" t="str">
        <f>Organization!$A$23</f>
        <v>DOCU-02</v>
      </c>
      <c r="B82" s="20" t="str">
        <f>VLOOKUP($A82,Organization!$A$13:$E$67,2,0)&amp;""</f>
        <v>Do you have a well-documented disaster recovery plan (DRP), with a clear owner, that is tested annually?*</v>
      </c>
      <c r="C82" s="45" t="str">
        <f>VLOOKUP($A82,Organization!$A$13:$E$67,3,0)&amp;""</f>
        <v/>
      </c>
      <c r="D82" s="34" t="str">
        <f>IF(LEFT(VLOOKUP($A82,Organization!$A$13:$E$67,5,0),21)='Auto Responses'!$A$32,'Auto Responses'!$A$33,VLOOKUP($A82,Organization!$A$13:$E$67,4,0))&amp;""</f>
        <v/>
      </c>
      <c r="E82" s="330" t="str">
        <f>VLOOKUP($A82,Organization!$A$13:$E$67,5,0)&amp;""</f>
        <v/>
      </c>
      <c r="F82" s="195"/>
      <c r="G82" s="30" t="str">
        <f>VLOOKUP($A82,Questions!$A$2:$X$333,21,0)&amp;""</f>
        <v>Yes</v>
      </c>
      <c r="H82" s="185"/>
      <c r="I82" s="45" t="str">
        <f>VLOOKUP($A82,Questions!$A$2:$X$333,23,0)&amp;""</f>
        <v>Critical Importance</v>
      </c>
      <c r="J82" s="185"/>
      <c r="K82" s="48" t="b">
        <v>0</v>
      </c>
      <c r="L82" s="1"/>
    </row>
    <row r="83" spans="1:12" s="29" customFormat="1" ht="15" x14ac:dyDescent="0.2">
      <c r="A83" s="19" t="str">
        <f>Organization!$A$24</f>
        <v>DOCU-03</v>
      </c>
      <c r="B83" s="20" t="str">
        <f>VLOOKUP($A83,Organization!$A$13:$E$67,2,0)&amp;""</f>
        <v>Have you undergone a SSAE 18/SOC 2 audit?</v>
      </c>
      <c r="C83" s="45" t="str">
        <f>VLOOKUP($A83,Organization!$A$13:$E$67,3,0)&amp;""</f>
        <v/>
      </c>
      <c r="D83" s="34" t="str">
        <f>IF(LEFT(VLOOKUP($A83,Organization!$A$13:$E$67,5,0),21)='Auto Responses'!$A$32,'Auto Responses'!$A$33,VLOOKUP($A83,Organization!$A$13:$E$67,4,0))&amp;""</f>
        <v/>
      </c>
      <c r="E83" s="330" t="str">
        <f>VLOOKUP($A83,Organization!$A$13:$E$67,5,0)&amp;""</f>
        <v/>
      </c>
      <c r="F83" s="195"/>
      <c r="G83" s="30" t="str">
        <f>VLOOKUP($A83,Questions!$A$2:$X$333,21,0)&amp;""</f>
        <v>Yes</v>
      </c>
      <c r="H83" s="185"/>
      <c r="I83" s="45" t="str">
        <f>VLOOKUP($A83,Questions!$A$2:$X$333,23,0)&amp;""</f>
        <v>Standard Importance</v>
      </c>
      <c r="J83" s="185"/>
      <c r="K83" s="48" t="b">
        <v>0</v>
      </c>
      <c r="L83" s="1"/>
    </row>
    <row r="84" spans="1:12" s="29" customFormat="1" ht="28.5" x14ac:dyDescent="0.2">
      <c r="A84" s="19" t="str">
        <f>Organization!$A$25</f>
        <v>DOCU-04</v>
      </c>
      <c r="B84" s="20" t="str">
        <f>VLOOKUP($A84,Organization!$A$13:$E$67,2,0)&amp;""</f>
        <v>Do you conform with a specific industry standard security framework (e.g., NIST Cybersecurity Framework, CIS Controls, ISO 27001, etc.)?</v>
      </c>
      <c r="C84" s="45" t="str">
        <f>VLOOKUP($A84,Organization!$A$13:$E$67,3,0)&amp;""</f>
        <v/>
      </c>
      <c r="D84" s="34" t="str">
        <f>IF(LEFT(VLOOKUP($A84,Organization!$A$13:$E$67,5,0),21)='Auto Responses'!$A$32,'Auto Responses'!$A$33,VLOOKUP($A84,Organization!$A$13:$E$67,4,0))&amp;""</f>
        <v/>
      </c>
      <c r="E84" s="330" t="str">
        <f>VLOOKUP($A84,Organization!$A$13:$E$67,5,0)&amp;""</f>
        <v/>
      </c>
      <c r="F84" s="195"/>
      <c r="G84" s="30" t="str">
        <f>VLOOKUP($A84,Questions!$A$2:$X$333,21,0)&amp;""</f>
        <v>Yes</v>
      </c>
      <c r="H84" s="185"/>
      <c r="I84" s="45" t="str">
        <f>VLOOKUP($A84,Questions!$A$2:$X$333,23,0)&amp;""</f>
        <v>Standard Importance</v>
      </c>
      <c r="J84" s="185"/>
      <c r="K84" s="48" t="b">
        <v>0</v>
      </c>
      <c r="L84" s="1"/>
    </row>
    <row r="85" spans="1:12" s="29" customFormat="1" ht="42.75" x14ac:dyDescent="0.2">
      <c r="A85" s="19" t="str">
        <f>Organization!$A$26</f>
        <v>DOCU-05</v>
      </c>
      <c r="B85" s="20" t="str">
        <f>VLOOKUP($A85,Organization!$A$13:$E$67,2,0)&amp;""</f>
        <v>Can you provide overall system and/or application architecture diagrams, including a full description of the data flow for all components of the system?</v>
      </c>
      <c r="C85" s="45" t="str">
        <f>VLOOKUP($A85,Organization!$A$13:$E$67,3,0)&amp;""</f>
        <v/>
      </c>
      <c r="D85" s="34" t="str">
        <f>IF(LEFT(VLOOKUP($A85,Organization!$A$13:$E$67,5,0),21)='Auto Responses'!$A$32,'Auto Responses'!$A$33,VLOOKUP($A85,Organization!$A$13:$E$67,4,0))&amp;""</f>
        <v/>
      </c>
      <c r="E85" s="330" t="str">
        <f>VLOOKUP($A85,Organization!$A$13:$E$67,5,0)&amp;""</f>
        <v/>
      </c>
      <c r="F85" s="195"/>
      <c r="G85" s="30" t="str">
        <f>VLOOKUP($A85,Questions!$A$2:$X$333,21,0)&amp;""</f>
        <v>Yes</v>
      </c>
      <c r="H85" s="185"/>
      <c r="I85" s="45" t="str">
        <f>VLOOKUP($A85,Questions!$A$2:$X$333,23,0)&amp;""</f>
        <v>Standard Importance</v>
      </c>
      <c r="J85" s="185"/>
      <c r="K85" s="48" t="b">
        <v>0</v>
      </c>
      <c r="L85" s="1"/>
    </row>
    <row r="86" spans="1:12" s="29" customFormat="1" ht="15" x14ac:dyDescent="0.2">
      <c r="A86" s="19" t="str">
        <f>Organization!$A$27</f>
        <v>DOCU-06</v>
      </c>
      <c r="B86" s="20" t="str">
        <f>VLOOKUP($A86,Organization!$A$13:$E$67,2,0)&amp;""</f>
        <v>Does your organization have a data privacy policy?</v>
      </c>
      <c r="C86" s="45" t="str">
        <f>VLOOKUP($A86,Organization!$A$13:$E$67,3,0)&amp;""</f>
        <v/>
      </c>
      <c r="D86" s="34" t="str">
        <f>IF(LEFT(VLOOKUP($A86,Organization!$A$13:$E$67,5,0),21)='Auto Responses'!$A$32,'Auto Responses'!$A$33,VLOOKUP($A86,Organization!$A$13:$E$67,4,0))&amp;""</f>
        <v/>
      </c>
      <c r="E86" s="330" t="str">
        <f>VLOOKUP($A86,Organization!$A$13:$E$67,5,0)&amp;""</f>
        <v/>
      </c>
      <c r="F86" s="195"/>
      <c r="G86" s="30" t="str">
        <f>VLOOKUP($A86,Questions!$A$2:$X$333,21,0)&amp;""</f>
        <v>Yes</v>
      </c>
      <c r="H86" s="185"/>
      <c r="I86" s="45" t="str">
        <f>VLOOKUP($A86,Questions!$A$2:$X$333,23,0)&amp;""</f>
        <v>Standard Importance</v>
      </c>
      <c r="J86" s="185"/>
      <c r="K86" s="48" t="b">
        <v>0</v>
      </c>
      <c r="L86" s="1"/>
    </row>
    <row r="87" spans="1:12" s="29" customFormat="1" ht="28.5" x14ac:dyDescent="0.2">
      <c r="A87" s="19" t="str">
        <f>Organization!$A$28</f>
        <v>DOCU-07</v>
      </c>
      <c r="B87" s="20" t="str">
        <f>VLOOKUP($A87,Organization!$A$13:$E$67,2,0)&amp;""</f>
        <v>Do you have a documented, and currently implemented, employee onboarding and offboarding policy?</v>
      </c>
      <c r="C87" s="45" t="str">
        <f>VLOOKUP($A87,Organization!$A$13:$E$67,3,0)&amp;""</f>
        <v/>
      </c>
      <c r="D87" s="34" t="str">
        <f>IF(LEFT(VLOOKUP($A87,Organization!$A$13:$E$67,5,0),21)='Auto Responses'!$A$32,'Auto Responses'!$A$33,VLOOKUP($A87,Organization!$A$13:$E$67,4,0))&amp;""</f>
        <v/>
      </c>
      <c r="E87" s="330" t="str">
        <f>VLOOKUP($A87,Organization!$A$13:$E$67,5,0)&amp;""</f>
        <v/>
      </c>
      <c r="F87" s="195"/>
      <c r="G87" s="30" t="str">
        <f>VLOOKUP($A87,Questions!$A$2:$X$333,21,0)&amp;""</f>
        <v>Yes</v>
      </c>
      <c r="H87" s="185"/>
      <c r="I87" s="45" t="str">
        <f>VLOOKUP($A87,Questions!$A$2:$X$333,23,0)&amp;""</f>
        <v>Standard Importance</v>
      </c>
      <c r="J87" s="185"/>
      <c r="K87" s="48" t="b">
        <v>0</v>
      </c>
      <c r="L87" s="1"/>
    </row>
    <row r="88" spans="1:12" s="1" customFormat="1" ht="18" x14ac:dyDescent="0.2">
      <c r="A88" s="63" t="str">
        <f>VLOOKUP(LEFT($A89,4),'Auto Responses'!$N$4:$O$38,2,0)&amp;""</f>
        <v xml:space="preserve"> Assessment of Third Parties</v>
      </c>
      <c r="B88" s="22"/>
      <c r="C88" s="31"/>
      <c r="D88" s="31"/>
      <c r="E88" s="331"/>
      <c r="F88" s="131" t="s">
        <v>1030</v>
      </c>
      <c r="G88" s="335" t="s">
        <v>869</v>
      </c>
      <c r="H88" s="335" t="s">
        <v>871</v>
      </c>
      <c r="I88" s="335" t="s">
        <v>19</v>
      </c>
      <c r="J88" s="335" t="s">
        <v>856</v>
      </c>
      <c r="K88" s="335" t="s">
        <v>867</v>
      </c>
    </row>
    <row r="89" spans="1:12" s="29" customFormat="1" ht="42.75" x14ac:dyDescent="0.2">
      <c r="A89" s="19" t="str">
        <f>Organization!$A$30</f>
        <v>THRD-01</v>
      </c>
      <c r="B89" s="20" t="str">
        <f>VLOOKUP($A89,Organization!$A$13:$E$67,2,0)&amp;""</f>
        <v>Do you perform security assessments of third-party companies with which you share data (e.g., hosting providers, cloud services, PaaS, IaaS, SaaS)?*</v>
      </c>
      <c r="C89" s="45" t="str">
        <f>VLOOKUP($A89,Organization!$A$13:$E$67,3,0)&amp;""</f>
        <v/>
      </c>
      <c r="D89" s="34" t="str">
        <f>IF(LEFT(VLOOKUP($A89,Organization!$A$13:$E$67,5,0),21)='Auto Responses'!$A$32,'Auto Responses'!$A$33,VLOOKUP($A89,Organization!$A$13:$E$67,4,0))&amp;""</f>
        <v/>
      </c>
      <c r="E89" s="330" t="str">
        <f>VLOOKUP($A89,Organization!$A$13:$E$67,5,0)&amp;""</f>
        <v/>
      </c>
      <c r="F89" s="195"/>
      <c r="G89" s="30" t="str">
        <f>VLOOKUP($A89,Questions!$A$2:$X$333,21,0)&amp;""</f>
        <v>Yes</v>
      </c>
      <c r="H89" s="185"/>
      <c r="I89" s="45" t="str">
        <f>VLOOKUP($A89,Questions!$A$2:$X$333,23,0)&amp;""</f>
        <v>Critical Importance</v>
      </c>
      <c r="J89" s="185"/>
      <c r="K89" s="48" t="b">
        <v>0</v>
      </c>
      <c r="L89" s="1"/>
    </row>
    <row r="90" spans="1:12" s="29" customFormat="1" ht="90" x14ac:dyDescent="0.2">
      <c r="A90" s="19" t="str">
        <f>Organization!$A$31</f>
        <v>THRD-02</v>
      </c>
      <c r="B90" s="20" t="str">
        <f>VLOOKUP($A90,Organization!$A$13:$E$67,2,0)&amp;""</f>
        <v>Do you have contractual language in place with third parties governing access to institutional data?*</v>
      </c>
      <c r="C90" s="45" t="str">
        <f>VLOOKUP($A90,Organization!$A$13:$E$67,3,0)&amp;""</f>
        <v/>
      </c>
      <c r="D90" s="34" t="str">
        <f>IF(LEFT(VLOOKUP($A90,Organization!$A$13:$E$67,5,0),21)='Auto Responses'!$A$32,'Auto Responses'!$A$33,VLOOKUP($A90,Organization!$A$13:$E$67,4,0))&amp;""</f>
        <v/>
      </c>
      <c r="E90" s="330" t="str">
        <f>VLOOKUP($A90,Organization!$A$13:$E$67,5,0)&amp;""</f>
        <v>List each third party and why institutional data is shared with them. Format example: [Third Party Name] - Reason</v>
      </c>
      <c r="F90" s="195"/>
      <c r="G90" s="30" t="str">
        <f>VLOOKUP($A90,Questions!$A$2:$X$333,21,0)&amp;""</f>
        <v>Yes</v>
      </c>
      <c r="H90" s="185"/>
      <c r="I90" s="45" t="str">
        <f>VLOOKUP($A90,Questions!$A$2:$X$333,23,0)&amp;""</f>
        <v>Critical Importance</v>
      </c>
      <c r="J90" s="185"/>
      <c r="K90" s="48" t="b">
        <v>0</v>
      </c>
      <c r="L90" s="1"/>
    </row>
    <row r="91" spans="1:12" s="29" customFormat="1" ht="28.5" x14ac:dyDescent="0.2">
      <c r="A91" s="19" t="str">
        <f>Organization!$A$32</f>
        <v>THRD-03</v>
      </c>
      <c r="B91" s="20" t="str">
        <f>VLOOKUP($A91,Organization!$A$13:$E$67,2,0)&amp;""</f>
        <v>Do the contracts in place with these third parties address liability in the event of a data breach?*</v>
      </c>
      <c r="C91" s="45" t="str">
        <f>VLOOKUP($A91,Organization!$A$13:$E$67,3,0)&amp;""</f>
        <v/>
      </c>
      <c r="D91" s="34" t="str">
        <f>IF(LEFT(VLOOKUP($A91,Organization!$A$13:$E$67,5,0),21)='Auto Responses'!$A$32,'Auto Responses'!$A$33,VLOOKUP($A91,Organization!$A$13:$E$67,4,0))&amp;""</f>
        <v/>
      </c>
      <c r="E91" s="330" t="str">
        <f>VLOOKUP($A91,Organization!$A$13:$E$67,5,0)&amp;""</f>
        <v/>
      </c>
      <c r="F91" s="195"/>
      <c r="G91" s="30" t="str">
        <f>VLOOKUP($A91,Questions!$A$2:$X$333,21,0)&amp;""</f>
        <v>Yes</v>
      </c>
      <c r="H91" s="185"/>
      <c r="I91" s="45" t="str">
        <f>VLOOKUP($A91,Questions!$A$2:$X$333,23,0)&amp;""</f>
        <v>Critical Importance</v>
      </c>
      <c r="J91" s="185"/>
      <c r="K91" s="48" t="b">
        <v>0</v>
      </c>
      <c r="L91" s="1"/>
    </row>
    <row r="92" spans="1:12" s="29" customFormat="1" ht="90" x14ac:dyDescent="0.2">
      <c r="A92" s="19" t="str">
        <f>Organization!$A$33</f>
        <v>THRD-04</v>
      </c>
      <c r="B92" s="20" t="str">
        <f>VLOOKUP($A92,Organization!$A$13:$E$67,2,0)&amp;""</f>
        <v>Do you have an implemented third-party management strategy?*</v>
      </c>
      <c r="C92" s="45" t="str">
        <f>VLOOKUP($A92,Organization!$A$13:$E$67,3,0)&amp;""</f>
        <v/>
      </c>
      <c r="D92" s="34" t="str">
        <f>IF(LEFT(VLOOKUP($A92,Organization!$A$13:$E$67,5,0),21)='Auto Responses'!$A$32,'Auto Responses'!$A$33,VLOOKUP($A92,Organization!$A$13:$E$67,4,0))&amp;""</f>
        <v/>
      </c>
      <c r="E92" s="330" t="str">
        <f>VLOOKUP($A92,Organization!$A$13:$E$67,5,0)&amp;""</f>
        <v>Robust answers from the solution provider improve the quality and efficiency of the security assessment process.</v>
      </c>
      <c r="F92" s="195"/>
      <c r="G92" s="30" t="str">
        <f>VLOOKUP($A92,Questions!$A$2:$X$333,21,0)&amp;""</f>
        <v>Yes</v>
      </c>
      <c r="H92" s="185"/>
      <c r="I92" s="45" t="str">
        <f>VLOOKUP($A92,Questions!$A$2:$X$333,23,0)&amp;""</f>
        <v>Critical Importance</v>
      </c>
      <c r="J92" s="185"/>
      <c r="K92" s="48" t="b">
        <v>0</v>
      </c>
      <c r="L92" s="1"/>
    </row>
    <row r="93" spans="1:12" s="29" customFormat="1" ht="60" x14ac:dyDescent="0.2">
      <c r="A93" s="19" t="str">
        <f>Organization!$A$34</f>
        <v>THRD-05</v>
      </c>
      <c r="B93" s="20" t="str">
        <f>VLOOKUP($A93,Organization!$A$13:$E$67,2,0)&amp;""</f>
        <v>Do you have a process and implemented procedures for managing your hardware supply chain (e.g., telecommunications equipment, export licensing, computing devices)?</v>
      </c>
      <c r="C93" s="45" t="str">
        <f>VLOOKUP($A93,Organization!$A$13:$E$67,3,0)&amp;""</f>
        <v/>
      </c>
      <c r="D93" s="34" t="str">
        <f>IF(LEFT(VLOOKUP($A93,Organization!$A$13:$E$67,5,0),21)='Auto Responses'!$A$32,'Auto Responses'!$A$33,VLOOKUP($A93,Organization!$A$13:$E$67,4,0))&amp;""</f>
        <v/>
      </c>
      <c r="E93" s="330" t="str">
        <f>VLOOKUP($A93,Organization!$A$13:$E$67,5,0)&amp;""</f>
        <v>Make sure you address any national or regional regulations.</v>
      </c>
      <c r="F93" s="195"/>
      <c r="G93" s="30" t="str">
        <f>VLOOKUP($A93,Questions!$A$2:$X$333,21,0)&amp;""</f>
        <v>Yes</v>
      </c>
      <c r="H93" s="185"/>
      <c r="I93" s="45" t="str">
        <f>VLOOKUP($A93,Questions!$A$2:$X$333,23,0)&amp;""</f>
        <v>Standard Importance</v>
      </c>
      <c r="J93" s="185"/>
      <c r="K93" s="48" t="b">
        <v>0</v>
      </c>
      <c r="L93" s="1"/>
    </row>
    <row r="94" spans="1:12" s="1" customFormat="1" ht="18" x14ac:dyDescent="0.2">
      <c r="A94" s="63" t="str">
        <f>VLOOKUP(LEFT($A95,4),'Auto Responses'!$N$4:$O$38,2,0)&amp;""</f>
        <v xml:space="preserve"> Change Management</v>
      </c>
      <c r="B94" s="22"/>
      <c r="C94" s="31"/>
      <c r="D94" s="31"/>
      <c r="E94" s="331"/>
      <c r="F94" s="131" t="s">
        <v>1030</v>
      </c>
      <c r="G94" s="335" t="s">
        <v>869</v>
      </c>
      <c r="H94" s="335" t="s">
        <v>871</v>
      </c>
      <c r="I94" s="335" t="s">
        <v>19</v>
      </c>
      <c r="J94" s="335" t="s">
        <v>856</v>
      </c>
      <c r="K94" s="335" t="s">
        <v>867</v>
      </c>
    </row>
    <row r="95" spans="1:12" s="29" customFormat="1" ht="28.5" x14ac:dyDescent="0.2">
      <c r="A95" s="19" t="str">
        <f>Organization!$A$36</f>
        <v>CHNG-01</v>
      </c>
      <c r="B95" s="20" t="str">
        <f>VLOOKUP($A95,Organization!$A$13:$E$67,2,0)&amp;""</f>
        <v>Will the institution be notified of major changes to your environment that could impact the institution's security posture?*</v>
      </c>
      <c r="C95" s="45" t="str">
        <f>VLOOKUP($A95,Organization!$A$13:$E$67,3,0)&amp;""</f>
        <v/>
      </c>
      <c r="D95" s="34" t="str">
        <f>IF(LEFT(VLOOKUP($A95,Organization!$A$13:$E$67,5,0),21)='Auto Responses'!$A$32,'Auto Responses'!$A$33,VLOOKUP($A95,Organization!$A$13:$E$67,4,0))&amp;""</f>
        <v/>
      </c>
      <c r="E95" s="330" t="str">
        <f>VLOOKUP($A95,Organization!$A$13:$E$67,5,0)&amp;""</f>
        <v/>
      </c>
      <c r="F95" s="195"/>
      <c r="G95" s="30" t="str">
        <f>VLOOKUP($A95,Questions!$A$2:$X$333,21,0)&amp;""</f>
        <v>Yes</v>
      </c>
      <c r="H95" s="185"/>
      <c r="I95" s="45" t="str">
        <f>VLOOKUP($A95,Questions!$A$2:$X$333,23,0)&amp;""</f>
        <v>Critical Importance</v>
      </c>
      <c r="J95" s="185"/>
      <c r="K95" s="48" t="b">
        <v>0</v>
      </c>
      <c r="L95" s="1"/>
    </row>
    <row r="96" spans="1:12" s="29" customFormat="1" ht="75" x14ac:dyDescent="0.2">
      <c r="A96" s="19" t="str">
        <f>Organization!$A$37</f>
        <v>CHNG-02</v>
      </c>
      <c r="B96" s="20" t="str">
        <f>VLOOKUP($A96,Organization!$A$13:$E$67,2,0)&amp;""</f>
        <v>Does the system support client customizations from one release to another?*</v>
      </c>
      <c r="C96" s="45" t="str">
        <f>VLOOKUP($A96,Organization!$A$13:$E$67,3,0)&amp;""</f>
        <v/>
      </c>
      <c r="D96" s="34" t="str">
        <f>IF(LEFT(VLOOKUP($A96,Organization!$A$13:$E$67,5,0),21)='Auto Responses'!$A$32,'Auto Responses'!$A$33,VLOOKUP($A96,Organization!$A$13:$E$67,4,0))&amp;""</f>
        <v/>
      </c>
      <c r="E96" s="330" t="str">
        <f>VLOOKUP($A96,Organization!$A$13:$E$67,5,0)&amp;""</f>
        <v>Ensure that all relevant details pertaining to CHNG-06 are clearly stated in your response.</v>
      </c>
      <c r="F96" s="195"/>
      <c r="G96" s="30" t="str">
        <f>VLOOKUP($A96,Questions!$A$2:$X$333,21,0)&amp;""</f>
        <v>Yes</v>
      </c>
      <c r="H96" s="185"/>
      <c r="I96" s="45" t="str">
        <f>VLOOKUP($A96,Questions!$A$2:$X$333,23,0)&amp;""</f>
        <v>Critical Importance</v>
      </c>
      <c r="J96" s="185"/>
      <c r="K96" s="48" t="b">
        <v>0</v>
      </c>
      <c r="L96" s="1"/>
    </row>
    <row r="97" spans="1:12" s="29" customFormat="1" ht="28.5" x14ac:dyDescent="0.2">
      <c r="A97" s="19" t="str">
        <f>Organization!$A$38</f>
        <v>CHNG-03</v>
      </c>
      <c r="B97" s="20" t="str">
        <f>VLOOKUP($A97,Organization!$A$13:$E$67,2,0)&amp;""</f>
        <v>Do you have an implemented system configuration management process (e.g., secure "gold" images, etc.)?*</v>
      </c>
      <c r="C97" s="45" t="str">
        <f>VLOOKUP($A97,Organization!$A$13:$E$67,3,0)&amp;""</f>
        <v/>
      </c>
      <c r="D97" s="34" t="str">
        <f>IF(LEFT(VLOOKUP($A97,Organization!$A$13:$E$67,5,0),21)='Auto Responses'!$A$32,'Auto Responses'!$A$33,VLOOKUP($A97,Organization!$A$13:$E$67,4,0))&amp;""</f>
        <v/>
      </c>
      <c r="E97" s="330" t="str">
        <f>VLOOKUP($A97,Organization!$A$13:$E$67,5,0)&amp;""</f>
        <v/>
      </c>
      <c r="F97" s="195"/>
      <c r="G97" s="30" t="str">
        <f>VLOOKUP($A97,Questions!$A$2:$X$333,21,0)&amp;""</f>
        <v>Yes</v>
      </c>
      <c r="H97" s="185"/>
      <c r="I97" s="45" t="str">
        <f>VLOOKUP($A97,Questions!$A$2:$X$333,23,0)&amp;""</f>
        <v>Critical Importance</v>
      </c>
      <c r="J97" s="185"/>
      <c r="K97" s="48" t="b">
        <v>0</v>
      </c>
      <c r="L97" s="1"/>
    </row>
    <row r="98" spans="1:12" s="29" customFormat="1" ht="15" x14ac:dyDescent="0.2">
      <c r="A98" s="19" t="str">
        <f>Organization!$A$39</f>
        <v>CHNG-04</v>
      </c>
      <c r="B98" s="20" t="str">
        <f>VLOOKUP($A98,Organization!$A$13:$E$67,2,0)&amp;""</f>
        <v>Do you have a documented change management process?</v>
      </c>
      <c r="C98" s="45" t="str">
        <f>VLOOKUP($A98,Organization!$A$13:$E$67,3,0)&amp;""</f>
        <v/>
      </c>
      <c r="D98" s="34" t="str">
        <f>IF(LEFT(VLOOKUP($A98,Organization!$A$13:$E$67,5,0),21)='Auto Responses'!$A$32,'Auto Responses'!$A$33,VLOOKUP($A98,Organization!$A$13:$E$67,4,0))&amp;""</f>
        <v/>
      </c>
      <c r="E98" s="330" t="str">
        <f>VLOOKUP($A98,Organization!$A$13:$E$67,5,0)&amp;""</f>
        <v/>
      </c>
      <c r="F98" s="195"/>
      <c r="G98" s="30" t="str">
        <f>VLOOKUP($A98,Questions!$A$2:$X$333,21,0)&amp;""</f>
        <v>Yes</v>
      </c>
      <c r="H98" s="185"/>
      <c r="I98" s="45" t="str">
        <f>VLOOKUP($A98,Questions!$A$2:$X$333,23,0)&amp;""</f>
        <v>Standard Importance</v>
      </c>
      <c r="J98" s="185"/>
      <c r="K98" s="48" t="b">
        <v>0</v>
      </c>
      <c r="L98" s="1"/>
    </row>
    <row r="99" spans="1:12" s="29" customFormat="1" ht="42.75" x14ac:dyDescent="0.2">
      <c r="A99" s="19" t="str">
        <f>Organization!$A$40</f>
        <v>CHNG-05</v>
      </c>
      <c r="B99" s="20" t="str">
        <f>VLOOKUP($A99,Organization!$A$13:$E$67,2,0)&amp;""</f>
        <v>Does your change management process minimally include authorization, impact analysis, testing, and validation before moving changes to production?</v>
      </c>
      <c r="C99" s="45" t="str">
        <f>VLOOKUP($A99,Organization!$A$13:$E$67,3,0)&amp;""</f>
        <v/>
      </c>
      <c r="D99" s="34" t="str">
        <f>IF(LEFT(VLOOKUP($A99,Organization!$A$13:$E$67,5,0),21)='Auto Responses'!$A$32,'Auto Responses'!$A$33,VLOOKUP($A99,Organization!$A$13:$E$67,4,0))&amp;""</f>
        <v/>
      </c>
      <c r="E99" s="330" t="str">
        <f>VLOOKUP($A99,Organization!$A$13:$E$67,5,0)&amp;""</f>
        <v/>
      </c>
      <c r="F99" s="195"/>
      <c r="G99" s="30" t="str">
        <f>VLOOKUP($A99,Questions!$A$2:$X$333,21,0)&amp;""</f>
        <v>Yes</v>
      </c>
      <c r="H99" s="185"/>
      <c r="I99" s="45" t="str">
        <f>VLOOKUP($A99,Questions!$A$2:$X$333,23,0)&amp;""</f>
        <v>Standard Importance</v>
      </c>
      <c r="J99" s="185"/>
      <c r="K99" s="48" t="b">
        <v>0</v>
      </c>
      <c r="L99" s="1"/>
    </row>
    <row r="100" spans="1:12" s="29" customFormat="1" ht="28.5" x14ac:dyDescent="0.2">
      <c r="A100" s="19" t="str">
        <f>Organization!$A$41</f>
        <v>CHNG-06</v>
      </c>
      <c r="B100" s="20" t="str">
        <f>VLOOKUP($A100,Organization!$A$13:$E$67,2,0)&amp;""</f>
        <v>Does your change management process verify that all required third-party libraries and dependencies are still supported with each major change?</v>
      </c>
      <c r="C100" s="45" t="str">
        <f>VLOOKUP($A100,Organization!$A$13:$E$67,3,0)&amp;""</f>
        <v/>
      </c>
      <c r="D100" s="34" t="str">
        <f>IF(LEFT(VLOOKUP($A100,Organization!$A$13:$E$67,5,0),21)='Auto Responses'!$A$32,'Auto Responses'!$A$33,VLOOKUP($A100,Organization!$A$13:$E$67,4,0))&amp;""</f>
        <v/>
      </c>
      <c r="E100" s="330" t="str">
        <f>VLOOKUP($A100,Organization!$A$13:$E$67,5,0)&amp;""</f>
        <v/>
      </c>
      <c r="F100" s="195"/>
      <c r="G100" s="30" t="str">
        <f>VLOOKUP($A100,Questions!$A$2:$X$333,21,0)&amp;""</f>
        <v>Yes</v>
      </c>
      <c r="H100" s="185"/>
      <c r="I100" s="45" t="str">
        <f>VLOOKUP($A100,Questions!$A$2:$X$333,23,0)&amp;""</f>
        <v>Standard Importance</v>
      </c>
      <c r="J100" s="185"/>
      <c r="K100" s="48" t="b">
        <v>0</v>
      </c>
      <c r="L100" s="1"/>
    </row>
    <row r="101" spans="1:12" s="29" customFormat="1" ht="28.5" x14ac:dyDescent="0.2">
      <c r="A101" s="19" t="str">
        <f>Organization!$A$42</f>
        <v>CHNG-07</v>
      </c>
      <c r="B101" s="20" t="str">
        <f>VLOOKUP($A101,Organization!$A$13:$E$67,2,0)&amp;""</f>
        <v>Do you have policy and procedure, currently implemented, managing how critical patches are applied to all systems and applications?</v>
      </c>
      <c r="C101" s="45" t="str">
        <f>VLOOKUP($A101,Organization!$A$13:$E$67,3,0)&amp;""</f>
        <v/>
      </c>
      <c r="D101" s="34" t="str">
        <f>IF(LEFT(VLOOKUP($A101,Organization!$A$13:$E$67,5,0),21)='Auto Responses'!$A$32,'Auto Responses'!$A$33,VLOOKUP($A101,Organization!$A$13:$E$67,4,0))&amp;""</f>
        <v/>
      </c>
      <c r="E101" s="330" t="str">
        <f>VLOOKUP($A101,Organization!$A$13:$E$67,5,0)&amp;""</f>
        <v/>
      </c>
      <c r="F101" s="195"/>
      <c r="G101" s="30" t="str">
        <f>VLOOKUP($A101,Questions!$A$2:$X$333,21,0)&amp;""</f>
        <v>Yes</v>
      </c>
      <c r="H101" s="185"/>
      <c r="I101" s="45" t="str">
        <f>VLOOKUP($A101,Questions!$A$2:$X$333,23,0)&amp;""</f>
        <v>Standard Importance</v>
      </c>
      <c r="J101" s="185"/>
      <c r="K101" s="48" t="b">
        <v>0</v>
      </c>
      <c r="L101" s="1"/>
    </row>
    <row r="102" spans="1:12" s="29" customFormat="1" ht="28.5" x14ac:dyDescent="0.2">
      <c r="A102" s="19" t="str">
        <f>Organization!$A$43</f>
        <v>CHNG-08</v>
      </c>
      <c r="B102" s="20" t="str">
        <f>VLOOKUP($A102,Organization!$A$13:$E$67,2,0)&amp;""</f>
        <v>Have you implemented policies and procedures that guide how security risks are mitigated until patches can be applied?</v>
      </c>
      <c r="C102" s="45" t="str">
        <f>VLOOKUP($A102,Organization!$A$13:$E$67,3,0)&amp;""</f>
        <v/>
      </c>
      <c r="D102" s="34" t="str">
        <f>IF(LEFT(VLOOKUP($A102,Organization!$A$13:$E$67,5,0),21)='Auto Responses'!$A$32,'Auto Responses'!$A$33,VLOOKUP($A102,Organization!$A$13:$E$67,4,0))&amp;""</f>
        <v/>
      </c>
      <c r="E102" s="330" t="str">
        <f>VLOOKUP($A102,Organization!$A$13:$E$67,5,0)&amp;""</f>
        <v/>
      </c>
      <c r="F102" s="195"/>
      <c r="G102" s="30" t="str">
        <f>VLOOKUP($A102,Questions!$A$2:$X$333,21,0)&amp;""</f>
        <v>Yes</v>
      </c>
      <c r="H102" s="185"/>
      <c r="I102" s="45" t="str">
        <f>VLOOKUP($A102,Questions!$A$2:$X$333,23,0)&amp;""</f>
        <v>Standard Importance</v>
      </c>
      <c r="J102" s="185"/>
      <c r="K102" s="48" t="b">
        <v>0</v>
      </c>
      <c r="L102" s="1"/>
    </row>
    <row r="103" spans="1:12" s="29" customFormat="1" ht="28.5" x14ac:dyDescent="0.2">
      <c r="A103" s="19" t="str">
        <f>Organization!$A$44</f>
        <v>CHNG-09</v>
      </c>
      <c r="B103" s="20" t="str">
        <f>VLOOKUP($A103,Organization!$A$13:$E$67,2,0)&amp;""</f>
        <v>Do clients have the option to not participate in or postpone an upgrade to a new release?</v>
      </c>
      <c r="C103" s="45" t="str">
        <f>VLOOKUP($A103,Organization!$A$13:$E$67,3,0)&amp;""</f>
        <v/>
      </c>
      <c r="D103" s="34" t="str">
        <f>IF(LEFT(VLOOKUP($A103,Organization!$A$13:$E$67,5,0),21)='Auto Responses'!$A$32,'Auto Responses'!$A$33,VLOOKUP($A103,Organization!$A$13:$E$67,4,0))&amp;""</f>
        <v/>
      </c>
      <c r="E103" s="330" t="str">
        <f>VLOOKUP($A103,Organization!$A$13:$E$67,5,0)&amp;""</f>
        <v/>
      </c>
      <c r="F103" s="195"/>
      <c r="G103" s="30" t="str">
        <f>VLOOKUP($A103,Questions!$A$2:$X$333,21,0)&amp;""</f>
        <v>Yes</v>
      </c>
      <c r="H103" s="185"/>
      <c r="I103" s="45" t="str">
        <f>VLOOKUP($A103,Questions!$A$2:$X$333,23,0)&amp;""</f>
        <v>Minor Importance</v>
      </c>
      <c r="J103" s="185"/>
      <c r="K103" s="48" t="b">
        <v>0</v>
      </c>
      <c r="L103" s="1"/>
    </row>
    <row r="104" spans="1:12" s="29" customFormat="1" ht="75" x14ac:dyDescent="0.2">
      <c r="A104" s="19" t="str">
        <f>Organization!$A$45</f>
        <v>CHNG-10</v>
      </c>
      <c r="B104" s="20" t="str">
        <f>VLOOKUP($A104,Organization!$A$13:$E$67,2,0)&amp;""</f>
        <v>Do you have a fully implemented solution support strategy that defines how many concurrent versions you support?</v>
      </c>
      <c r="C104" s="45" t="str">
        <f>VLOOKUP($A104,Organization!$A$13:$E$67,3,0)&amp;""</f>
        <v/>
      </c>
      <c r="D104" s="34" t="str">
        <f>IF(LEFT(VLOOKUP($A104,Organization!$A$13:$E$67,5,0),21)='Auto Responses'!$A$32,'Auto Responses'!$A$33,VLOOKUP($A104,Organization!$A$13:$E$67,4,0))&amp;""</f>
        <v/>
      </c>
      <c r="E104" s="330" t="str">
        <f>VLOOKUP($A104,Organization!$A$13:$E$67,5,0)&amp;""</f>
        <v>List the current version you support and what percentage of customers are utilizing that version.</v>
      </c>
      <c r="F104" s="195"/>
      <c r="G104" s="30" t="str">
        <f>VLOOKUP($A104,Questions!$A$2:$X$333,21,0)&amp;""</f>
        <v>Yes</v>
      </c>
      <c r="H104" s="185"/>
      <c r="I104" s="45" t="str">
        <f>VLOOKUP($A104,Questions!$A$2:$X$333,23,0)&amp;""</f>
        <v>Minor Importance</v>
      </c>
      <c r="J104" s="185"/>
      <c r="K104" s="48" t="b">
        <v>0</v>
      </c>
      <c r="L104" s="1"/>
    </row>
    <row r="105" spans="1:12" s="29" customFormat="1" ht="15" x14ac:dyDescent="0.2">
      <c r="A105" s="19" t="str">
        <f>Organization!$A$46</f>
        <v>CHNG-11</v>
      </c>
      <c r="B105" s="20" t="str">
        <f>VLOOKUP($A105,Organization!$A$13:$E$67,2,0)&amp;""</f>
        <v>Do you have a release schedule for product updates?</v>
      </c>
      <c r="C105" s="45" t="str">
        <f>VLOOKUP($A105,Organization!$A$13:$E$67,3,0)&amp;""</f>
        <v/>
      </c>
      <c r="D105" s="34" t="str">
        <f>IF(LEFT(VLOOKUP($A105,Organization!$A$13:$E$67,5,0),21)='Auto Responses'!$A$32,'Auto Responses'!$A$33,VLOOKUP($A105,Organization!$A$13:$E$67,4,0))&amp;""</f>
        <v/>
      </c>
      <c r="E105" s="330" t="str">
        <f>VLOOKUP($A105,Organization!$A$13:$E$67,5,0)&amp;""</f>
        <v/>
      </c>
      <c r="F105" s="195"/>
      <c r="G105" s="30" t="str">
        <f>VLOOKUP($A105,Questions!$A$2:$X$333,21,0)&amp;""</f>
        <v>Yes</v>
      </c>
      <c r="H105" s="185"/>
      <c r="I105" s="45" t="str">
        <f>VLOOKUP($A105,Questions!$A$2:$X$333,23,0)&amp;""</f>
        <v>Minor Importance</v>
      </c>
      <c r="J105" s="185"/>
      <c r="K105" s="48" t="b">
        <v>0</v>
      </c>
      <c r="L105" s="1"/>
    </row>
    <row r="106" spans="1:12" s="29" customFormat="1" ht="28.5" x14ac:dyDescent="0.2">
      <c r="A106" s="19" t="str">
        <f>Organization!$A$47</f>
        <v>CHNG-12</v>
      </c>
      <c r="B106" s="20" t="str">
        <f>VLOOKUP($A106,Organization!$A$13:$E$67,2,0)&amp;""</f>
        <v>Do you have a technology roadmap, for at least the next two years, for enhancements and bug fixes for the solution being assessed?</v>
      </c>
      <c r="C106" s="45" t="str">
        <f>VLOOKUP($A106,Organization!$A$13:$E$67,3,0)&amp;""</f>
        <v/>
      </c>
      <c r="D106" s="34" t="str">
        <f>IF(LEFT(VLOOKUP($A106,Organization!$A$13:$E$67,5,0),21)='Auto Responses'!$A$32,'Auto Responses'!$A$33,VLOOKUP($A106,Organization!$A$13:$E$67,4,0))&amp;""</f>
        <v/>
      </c>
      <c r="E106" s="330" t="str">
        <f>VLOOKUP($A106,Organization!$A$13:$E$67,5,0)&amp;""</f>
        <v/>
      </c>
      <c r="F106" s="195"/>
      <c r="G106" s="30" t="str">
        <f>VLOOKUP($A106,Questions!$A$2:$X$333,21,0)&amp;""</f>
        <v>Yes</v>
      </c>
      <c r="H106" s="185"/>
      <c r="I106" s="45" t="str">
        <f>VLOOKUP($A106,Questions!$A$2:$X$333,23,0)&amp;""</f>
        <v>Minor Importance</v>
      </c>
      <c r="J106" s="185"/>
      <c r="K106" s="48" t="b">
        <v>0</v>
      </c>
      <c r="L106" s="1"/>
    </row>
    <row r="107" spans="1:12" s="29" customFormat="1" ht="28.5" x14ac:dyDescent="0.2">
      <c r="A107" s="19" t="str">
        <f>Organization!$A$48</f>
        <v>CHNG-13</v>
      </c>
      <c r="B107" s="20" t="str">
        <f>VLOOKUP($A107,Organization!$A$13:$E$67,2,0)&amp;""</f>
        <v>Can solution updates be completed without institutional involvement (i.e., technically or organizationally)?</v>
      </c>
      <c r="C107" s="45" t="str">
        <f>VLOOKUP($A107,Organization!$A$13:$E$67,3,0)&amp;""</f>
        <v/>
      </c>
      <c r="D107" s="34" t="str">
        <f>IF(LEFT(VLOOKUP($A107,Organization!$A$13:$E$67,5,0),21)='Auto Responses'!$A$32,'Auto Responses'!$A$33,VLOOKUP($A107,Organization!$A$13:$E$67,4,0))&amp;""</f>
        <v/>
      </c>
      <c r="E107" s="330" t="str">
        <f>VLOOKUP($A107,Organization!$A$13:$E$67,5,0)&amp;""</f>
        <v/>
      </c>
      <c r="F107" s="195"/>
      <c r="G107" s="30" t="str">
        <f>VLOOKUP($A107,Questions!$A$2:$X$333,21,0)&amp;""</f>
        <v>Yes</v>
      </c>
      <c r="H107" s="185"/>
      <c r="I107" s="45" t="str">
        <f>VLOOKUP($A107,Questions!$A$2:$X$333,23,0)&amp;""</f>
        <v>Minor Importance</v>
      </c>
      <c r="J107" s="185"/>
      <c r="K107" s="48" t="b">
        <v>0</v>
      </c>
      <c r="L107" s="1"/>
    </row>
    <row r="108" spans="1:12" s="29" customFormat="1" ht="28.5" x14ac:dyDescent="0.2">
      <c r="A108" s="19" t="str">
        <f>Organization!$A$49</f>
        <v>CHNG-14</v>
      </c>
      <c r="B108" s="20" t="str">
        <f>VLOOKUP($A108,Organization!$A$13:$E$67,2,0)&amp;""</f>
        <v>Are upgrades or system changes installed during off-peak hours or in a manner that does not impact the customer?</v>
      </c>
      <c r="C108" s="45" t="str">
        <f>VLOOKUP($A108,Organization!$A$13:$E$67,3,0)&amp;""</f>
        <v/>
      </c>
      <c r="D108" s="34" t="str">
        <f>IF(LEFT(VLOOKUP($A108,Organization!$A$13:$E$67,5,0),21)='Auto Responses'!$A$32,'Auto Responses'!$A$33,VLOOKUP($A108,Organization!$A$13:$E$67,4,0))&amp;""</f>
        <v/>
      </c>
      <c r="E108" s="330" t="str">
        <f>VLOOKUP($A108,Organization!$A$13:$E$67,5,0)&amp;""</f>
        <v/>
      </c>
      <c r="F108" s="195"/>
      <c r="G108" s="30" t="str">
        <f>VLOOKUP($A108,Questions!$A$2:$X$333,21,0)&amp;""</f>
        <v>Yes</v>
      </c>
      <c r="H108" s="185"/>
      <c r="I108" s="45" t="str">
        <f>VLOOKUP($A108,Questions!$A$2:$X$333,23,0)&amp;""</f>
        <v>Minor Importance</v>
      </c>
      <c r="J108" s="185"/>
      <c r="K108" s="48" t="b">
        <v>0</v>
      </c>
      <c r="L108" s="1"/>
    </row>
    <row r="109" spans="1:12" s="29" customFormat="1" ht="28.5" x14ac:dyDescent="0.2">
      <c r="A109" s="19" t="str">
        <f>Organization!$A$50</f>
        <v>CHNG-15</v>
      </c>
      <c r="B109" s="20" t="str">
        <f>VLOOKUP($A109,Organization!$A$13:$E$67,2,0)&amp;""</f>
        <v>Do procedures exist to provide that emergency changes are documented and authorized (including after-the-fact approval)?</v>
      </c>
      <c r="C109" s="45" t="str">
        <f>VLOOKUP($A109,Organization!$A$13:$E$67,3,0)&amp;""</f>
        <v/>
      </c>
      <c r="D109" s="34" t="str">
        <f>IF(LEFT(VLOOKUP($A109,Organization!$A$13:$E$67,5,0),21)='Auto Responses'!$A$32,'Auto Responses'!$A$33,VLOOKUP($A109,Organization!$A$13:$E$67,4,0))&amp;""</f>
        <v/>
      </c>
      <c r="E109" s="330" t="str">
        <f>VLOOKUP($A109,Organization!$A$13:$E$67,5,0)&amp;""</f>
        <v/>
      </c>
      <c r="F109" s="195"/>
      <c r="G109" s="30" t="str">
        <f>VLOOKUP($A109,Questions!$A$2:$X$333,21,0)&amp;""</f>
        <v>Yes</v>
      </c>
      <c r="H109" s="185"/>
      <c r="I109" s="45" t="str">
        <f>VLOOKUP($A109,Questions!$A$2:$X$333,23,0)&amp;""</f>
        <v>Minor Importance</v>
      </c>
      <c r="J109" s="185"/>
      <c r="K109" s="48" t="b">
        <v>0</v>
      </c>
      <c r="L109" s="1"/>
    </row>
    <row r="110" spans="1:12" s="29" customFormat="1" ht="42.75" x14ac:dyDescent="0.2">
      <c r="A110" s="19" t="str">
        <f>Organization!$A$51</f>
        <v>CHNG-16</v>
      </c>
      <c r="B110" s="20" t="str">
        <f>VLOOKUP($A110,Organization!$A$13:$E$67,2,0)&amp;""</f>
        <v>Do you have a systems management and configuration strategy that encompasses servers, appliances, cloud services, applications, and mobile devices (company and employee owned)?</v>
      </c>
      <c r="C110" s="45" t="str">
        <f>VLOOKUP($A110,Organization!$A$13:$E$67,3,0)&amp;""</f>
        <v/>
      </c>
      <c r="D110" s="34" t="str">
        <f>IF(LEFT(VLOOKUP($A110,Organization!$A$13:$E$67,5,0),21)='Auto Responses'!$A$32,'Auto Responses'!$A$33,VLOOKUP($A110,Organization!$A$13:$E$67,4,0))&amp;""</f>
        <v/>
      </c>
      <c r="E110" s="330" t="str">
        <f>VLOOKUP($A110,Organization!$A$13:$E$67,5,0)&amp;""</f>
        <v/>
      </c>
      <c r="F110" s="195"/>
      <c r="G110" s="30" t="str">
        <f>VLOOKUP($A110,Questions!$A$2:$X$333,21,0)&amp;""</f>
        <v>Yes</v>
      </c>
      <c r="H110" s="185"/>
      <c r="I110" s="45" t="str">
        <f>VLOOKUP($A110,Questions!$A$2:$X$333,23,0)&amp;""</f>
        <v>Minor Importance</v>
      </c>
      <c r="J110" s="185"/>
      <c r="K110" s="48" t="b">
        <v>0</v>
      </c>
      <c r="L110" s="1"/>
    </row>
    <row r="111" spans="1:12" s="1" customFormat="1" ht="18" x14ac:dyDescent="0.2">
      <c r="A111" s="63" t="str">
        <f>VLOOKUP(LEFT($A112,4),'Auto Responses'!$N$4:$O$38,2,0)&amp;""</f>
        <v xml:space="preserve"> Policies, Processes, and Procedures</v>
      </c>
      <c r="B111" s="22"/>
      <c r="C111" s="31"/>
      <c r="D111" s="31"/>
      <c r="E111" s="331"/>
      <c r="F111" s="131" t="s">
        <v>1030</v>
      </c>
      <c r="G111" s="335" t="s">
        <v>869</v>
      </c>
      <c r="H111" s="335" t="s">
        <v>871</v>
      </c>
      <c r="I111" s="335" t="s">
        <v>19</v>
      </c>
      <c r="J111" s="335" t="s">
        <v>856</v>
      </c>
      <c r="K111" s="335" t="s">
        <v>867</v>
      </c>
    </row>
    <row r="112" spans="1:12" s="29" customFormat="1" ht="15" x14ac:dyDescent="0.2">
      <c r="A112" s="19" t="str">
        <f>Organization!$A$53</f>
        <v>PPPR-01</v>
      </c>
      <c r="B112" s="20" t="str">
        <f>VLOOKUP($A112,Organization!$A$13:$E$67,2,0)&amp;""</f>
        <v>Do you have a documented patch management process?*</v>
      </c>
      <c r="C112" s="45" t="str">
        <f>VLOOKUP($A112,Organization!$A$13:$E$67,3,0)&amp;""</f>
        <v/>
      </c>
      <c r="D112" s="34" t="str">
        <f>IF(LEFT(VLOOKUP($A112,Organization!$A$13:$E$67,5,0),21)='Auto Responses'!$A$32,'Auto Responses'!$A$33,VLOOKUP($A112,Organization!$A$13:$E$67,4,0))&amp;""</f>
        <v/>
      </c>
      <c r="E112" s="330" t="str">
        <f>VLOOKUP($A112,Organization!$A$13:$E$67,5,0)&amp;""</f>
        <v/>
      </c>
      <c r="F112" s="195"/>
      <c r="G112" s="30" t="str">
        <f>VLOOKUP($A112,Questions!$A$2:$X$333,21,0)&amp;""</f>
        <v>Yes</v>
      </c>
      <c r="H112" s="185"/>
      <c r="I112" s="45" t="str">
        <f>VLOOKUP($A112,Questions!$A$2:$X$333,23,0)&amp;""</f>
        <v>Critical Importance</v>
      </c>
      <c r="J112" s="185"/>
      <c r="K112" s="48" t="b">
        <v>0</v>
      </c>
      <c r="L112" s="1"/>
    </row>
    <row r="113" spans="1:12" s="29" customFormat="1" ht="28.5" x14ac:dyDescent="0.2">
      <c r="A113" s="19" t="str">
        <f>Organization!$A$54</f>
        <v>PPPR-02</v>
      </c>
      <c r="B113" s="20" t="str">
        <f>VLOOKUP($A113,Organization!$A$13:$E$67,2,0)&amp;""</f>
        <v>Can your organization comply with institutional policies on privacy and data protection with regard to users of institutional systems, if required?*</v>
      </c>
      <c r="C113" s="45" t="str">
        <f>VLOOKUP($A113,Organization!$A$13:$E$67,3,0)&amp;""</f>
        <v/>
      </c>
      <c r="D113" s="34" t="str">
        <f>IF(LEFT(VLOOKUP($A113,Organization!$A$13:$E$67,5,0),21)='Auto Responses'!$A$32,'Auto Responses'!$A$33,VLOOKUP($A113,Organization!$A$13:$E$67,4,0))&amp;""</f>
        <v/>
      </c>
      <c r="E113" s="330" t="str">
        <f>VLOOKUP($A113,Organization!$A$13:$E$67,5,0)&amp;""</f>
        <v/>
      </c>
      <c r="F113" s="195"/>
      <c r="G113" s="30" t="str">
        <f>VLOOKUP($A113,Questions!$A$2:$X$333,21,0)&amp;""</f>
        <v>Yes</v>
      </c>
      <c r="H113" s="185"/>
      <c r="I113" s="45" t="str">
        <f>VLOOKUP($A113,Questions!$A$2:$X$333,23,0)&amp;""</f>
        <v>Critical Importance</v>
      </c>
      <c r="J113" s="185"/>
      <c r="K113" s="48" t="b">
        <v>0</v>
      </c>
      <c r="L113" s="1"/>
    </row>
    <row r="114" spans="1:12" s="29" customFormat="1" ht="45" x14ac:dyDescent="0.2">
      <c r="A114" s="19" t="str">
        <f>Organization!$A$55</f>
        <v>PPPR-03</v>
      </c>
      <c r="B114" s="20" t="str">
        <f>VLOOKUP($A114,Organization!$A$13:$E$67,2,0)&amp;""</f>
        <v>Is your company subject to the institution's geographic region's laws and regulations?*</v>
      </c>
      <c r="C114" s="45" t="str">
        <f>VLOOKUP($A114,Organization!$A$13:$E$67,3,0)&amp;""</f>
        <v/>
      </c>
      <c r="D114" s="34" t="str">
        <f>IF(LEFT(VLOOKUP($A114,Organization!$A$13:$E$67,5,0),21)='Auto Responses'!$A$32,'Auto Responses'!$A$33,VLOOKUP($A114,Organization!$A$13:$E$67,4,0))&amp;""</f>
        <v/>
      </c>
      <c r="E114" s="330" t="str">
        <f>VLOOKUP($A114,Organization!$A$13:$E$67,5,0)&amp;""</f>
        <v>State the country that governs and regulates your company.</v>
      </c>
      <c r="F114" s="195"/>
      <c r="G114" s="30" t="str">
        <f>VLOOKUP($A114,Questions!$A$2:$X$333,21,0)&amp;""</f>
        <v>Yes</v>
      </c>
      <c r="H114" s="185"/>
      <c r="I114" s="45" t="str">
        <f>VLOOKUP($A114,Questions!$A$2:$X$333,23,0)&amp;""</f>
        <v>Critical Importance</v>
      </c>
      <c r="J114" s="185"/>
      <c r="K114" s="48" t="b">
        <v>0</v>
      </c>
      <c r="L114" s="1"/>
    </row>
    <row r="115" spans="1:12" s="29" customFormat="1" ht="15" x14ac:dyDescent="0.2">
      <c r="A115" s="19" t="str">
        <f>Organization!$A$56</f>
        <v>PPPR-04</v>
      </c>
      <c r="B115" s="20" t="str">
        <f>VLOOKUP($A115,Organization!$A$13:$E$67,2,0)&amp;""</f>
        <v>Can you accommodate encryption requirements using open standards?</v>
      </c>
      <c r="C115" s="45" t="str">
        <f>VLOOKUP($A115,Organization!$A$13:$E$67,3,0)&amp;""</f>
        <v/>
      </c>
      <c r="D115" s="34" t="str">
        <f>IF(LEFT(VLOOKUP($A115,Organization!$A$13:$E$67,5,0),21)='Auto Responses'!$A$32,'Auto Responses'!$A$33,VLOOKUP($A115,Organization!$A$13:$E$67,4,0))&amp;""</f>
        <v/>
      </c>
      <c r="E115" s="330" t="str">
        <f>VLOOKUP($A115,Organization!$A$13:$E$67,5,0)&amp;""</f>
        <v/>
      </c>
      <c r="F115" s="195"/>
      <c r="G115" s="30" t="str">
        <f>VLOOKUP($A115,Questions!$A$2:$X$333,21,0)&amp;""</f>
        <v>Yes</v>
      </c>
      <c r="H115" s="185"/>
      <c r="I115" s="45" t="str">
        <f>VLOOKUP($A115,Questions!$A$2:$X$333,23,0)&amp;""</f>
        <v>Standard Importance</v>
      </c>
      <c r="J115" s="185"/>
      <c r="K115" s="48" t="b">
        <v>0</v>
      </c>
      <c r="L115" s="1"/>
    </row>
    <row r="116" spans="1:12" s="29" customFormat="1" ht="15" x14ac:dyDescent="0.2">
      <c r="A116" s="19" t="str">
        <f>Organization!$A$57</f>
        <v>PPPR-05</v>
      </c>
      <c r="B116" s="20" t="str">
        <f>VLOOKUP($A116,Organization!$A$13:$E$67,2,0)&amp;""</f>
        <v>Do you have a documented systems development life cycle (SDLC)?</v>
      </c>
      <c r="C116" s="45" t="str">
        <f>VLOOKUP($A116,Organization!$A$13:$E$67,3,0)&amp;""</f>
        <v/>
      </c>
      <c r="D116" s="34" t="str">
        <f>IF(LEFT(VLOOKUP($A116,Organization!$A$13:$E$67,5,0),21)='Auto Responses'!$A$32,'Auto Responses'!$A$33,VLOOKUP($A116,Organization!$A$13:$E$67,4,0))&amp;""</f>
        <v/>
      </c>
      <c r="E116" s="330" t="str">
        <f>VLOOKUP($A116,Organization!$A$13:$E$67,5,0)&amp;""</f>
        <v/>
      </c>
      <c r="F116" s="195"/>
      <c r="G116" s="30" t="str">
        <f>VLOOKUP($A116,Questions!$A$2:$X$333,21,0)&amp;""</f>
        <v>Yes</v>
      </c>
      <c r="H116" s="185"/>
      <c r="I116" s="45" t="str">
        <f>VLOOKUP($A116,Questions!$A$2:$X$333,23,0)&amp;""</f>
        <v>Standard Importance</v>
      </c>
      <c r="J116" s="185"/>
      <c r="K116" s="48" t="b">
        <v>0</v>
      </c>
      <c r="L116" s="1"/>
    </row>
    <row r="117" spans="1:12" s="29" customFormat="1" ht="28.5" x14ac:dyDescent="0.2">
      <c r="A117" s="19" t="str">
        <f>Organization!$A$58</f>
        <v>PPPR-06</v>
      </c>
      <c r="B117" s="20" t="str">
        <f>VLOOKUP($A117,Organization!$A$13:$E$67,2,0)&amp;""</f>
        <v>Do you perform background screenings or multi-state background checks on all employees prior to their first day of work?</v>
      </c>
      <c r="C117" s="45" t="str">
        <f>VLOOKUP($A117,Organization!$A$13:$E$67,3,0)&amp;""</f>
        <v/>
      </c>
      <c r="D117" s="34" t="str">
        <f>IF(LEFT(VLOOKUP($A117,Organization!$A$13:$E$67,5,0),21)='Auto Responses'!$A$32,'Auto Responses'!$A$33,VLOOKUP($A117,Organization!$A$13:$E$67,4,0))&amp;""</f>
        <v/>
      </c>
      <c r="E117" s="330" t="str">
        <f>VLOOKUP($A117,Organization!$A$13:$E$67,5,0)&amp;""</f>
        <v/>
      </c>
      <c r="F117" s="195"/>
      <c r="G117" s="30" t="str">
        <f>VLOOKUP($A117,Questions!$A$2:$X$333,21,0)&amp;""</f>
        <v>Yes</v>
      </c>
      <c r="H117" s="185"/>
      <c r="I117" s="45" t="str">
        <f>VLOOKUP($A117,Questions!$A$2:$X$333,23,0)&amp;""</f>
        <v>Standard Importance</v>
      </c>
      <c r="J117" s="185"/>
      <c r="K117" s="48" t="b">
        <v>0</v>
      </c>
      <c r="L117" s="1"/>
    </row>
    <row r="118" spans="1:12" s="29" customFormat="1" ht="15" x14ac:dyDescent="0.2">
      <c r="A118" s="19" t="str">
        <f>Organization!$A$59</f>
        <v>PPPR-07</v>
      </c>
      <c r="B118" s="20" t="str">
        <f>VLOOKUP($A118,Organization!$A$13:$E$67,2,0)&amp;""</f>
        <v>Do you require new employees to fill out agreements and review policies?</v>
      </c>
      <c r="C118" s="45" t="str">
        <f>VLOOKUP($A118,Organization!$A$13:$E$67,3,0)&amp;""</f>
        <v/>
      </c>
      <c r="D118" s="34" t="str">
        <f>IF(LEFT(VLOOKUP($A118,Organization!$A$13:$E$67,5,0),21)='Auto Responses'!$A$32,'Auto Responses'!$A$33,VLOOKUP($A118,Organization!$A$13:$E$67,4,0))&amp;""</f>
        <v/>
      </c>
      <c r="E118" s="330" t="str">
        <f>VLOOKUP($A118,Organization!$A$13:$E$67,5,0)&amp;""</f>
        <v/>
      </c>
      <c r="F118" s="195"/>
      <c r="G118" s="30" t="str">
        <f>VLOOKUP($A118,Questions!$A$2:$X$333,21,0)&amp;""</f>
        <v>Yes</v>
      </c>
      <c r="H118" s="185"/>
      <c r="I118" s="45" t="str">
        <f>VLOOKUP($A118,Questions!$A$2:$X$333,23,0)&amp;""</f>
        <v>Standard Importance</v>
      </c>
      <c r="J118" s="185"/>
      <c r="K118" s="48" t="b">
        <v>0</v>
      </c>
      <c r="L118" s="1"/>
    </row>
    <row r="119" spans="1:12" s="29" customFormat="1" ht="15" x14ac:dyDescent="0.2">
      <c r="A119" s="19" t="str">
        <f>Organization!$A$60</f>
        <v>PPPR-08</v>
      </c>
      <c r="B119" s="20" t="str">
        <f>VLOOKUP($A119,Organization!$A$13:$E$67,2,0)&amp;""</f>
        <v>Do you have a documented information security policy?</v>
      </c>
      <c r="C119" s="45" t="str">
        <f>VLOOKUP($A119,Organization!$A$13:$E$67,3,0)&amp;""</f>
        <v/>
      </c>
      <c r="D119" s="34" t="str">
        <f>IF(LEFT(VLOOKUP($A119,Organization!$A$13:$E$67,5,0),21)='Auto Responses'!$A$32,'Auto Responses'!$A$33,VLOOKUP($A119,Organization!$A$13:$E$67,4,0))&amp;""</f>
        <v/>
      </c>
      <c r="E119" s="330" t="str">
        <f>VLOOKUP($A119,Organization!$A$13:$E$67,5,0)&amp;""</f>
        <v/>
      </c>
      <c r="F119" s="195"/>
      <c r="G119" s="30" t="str">
        <f>VLOOKUP($A119,Questions!$A$2:$X$333,21,0)&amp;""</f>
        <v>Yes</v>
      </c>
      <c r="H119" s="185"/>
      <c r="I119" s="45" t="str">
        <f>VLOOKUP($A119,Questions!$A$2:$X$333,23,0)&amp;""</f>
        <v>Standard Importance</v>
      </c>
      <c r="J119" s="185"/>
      <c r="K119" s="48" t="b">
        <v>0</v>
      </c>
      <c r="L119" s="1"/>
    </row>
    <row r="120" spans="1:12" s="29" customFormat="1" ht="15" x14ac:dyDescent="0.2">
      <c r="A120" s="19" t="str">
        <f>Organization!$A$61</f>
        <v>PPPR-09</v>
      </c>
      <c r="B120" s="20" t="str">
        <f>VLOOKUP($A120,Organization!$A$13:$E$67,2,0)&amp;""</f>
        <v>Are information security principles designed into the product lifecycle?</v>
      </c>
      <c r="C120" s="45" t="str">
        <f>VLOOKUP($A120,Organization!$A$13:$E$67,3,0)&amp;""</f>
        <v/>
      </c>
      <c r="D120" s="34" t="str">
        <f>IF(LEFT(VLOOKUP($A120,Organization!$A$13:$E$67,5,0),21)='Auto Responses'!$A$32,'Auto Responses'!$A$33,VLOOKUP($A120,Organization!$A$13:$E$67,4,0))&amp;""</f>
        <v/>
      </c>
      <c r="E120" s="330" t="str">
        <f>VLOOKUP($A120,Organization!$A$13:$E$67,5,0)&amp;""</f>
        <v/>
      </c>
      <c r="F120" s="195"/>
      <c r="G120" s="30" t="str">
        <f>VLOOKUP($A120,Questions!$A$2:$X$333,21,0)&amp;""</f>
        <v>Yes</v>
      </c>
      <c r="H120" s="185"/>
      <c r="I120" s="45" t="str">
        <f>VLOOKUP($A120,Questions!$A$2:$X$333,23,0)&amp;""</f>
        <v>Minor Importance</v>
      </c>
      <c r="J120" s="185"/>
      <c r="K120" s="48" t="b">
        <v>0</v>
      </c>
      <c r="L120" s="1"/>
    </row>
    <row r="121" spans="1:12" s="29" customFormat="1" ht="15" x14ac:dyDescent="0.2">
      <c r="A121" s="19" t="str">
        <f>Organization!$A$62</f>
        <v>PPPR-10</v>
      </c>
      <c r="B121" s="20" t="str">
        <f>VLOOKUP($A121,Organization!$A$13:$E$67,2,0)&amp;""</f>
        <v>Will you comply with applicable breach notification laws?</v>
      </c>
      <c r="C121" s="45" t="str">
        <f>VLOOKUP($A121,Organization!$A$13:$E$67,3,0)&amp;""</f>
        <v/>
      </c>
      <c r="D121" s="34" t="str">
        <f>IF(LEFT(VLOOKUP($A121,Organization!$A$13:$E$67,5,0),21)='Auto Responses'!$A$32,'Auto Responses'!$A$33,VLOOKUP($A121,Organization!$A$13:$E$67,4,0))&amp;""</f>
        <v/>
      </c>
      <c r="E121" s="330" t="str">
        <f>VLOOKUP($A121,Organization!$A$13:$E$67,5,0)&amp;""</f>
        <v/>
      </c>
      <c r="F121" s="195"/>
      <c r="G121" s="30" t="str">
        <f>VLOOKUP($A121,Questions!$A$2:$X$333,21,0)&amp;""</f>
        <v>Yes</v>
      </c>
      <c r="H121" s="185"/>
      <c r="I121" s="45" t="str">
        <f>VLOOKUP($A121,Questions!$A$2:$X$333,23,0)&amp;""</f>
        <v>Minor Importance</v>
      </c>
      <c r="J121" s="185"/>
      <c r="K121" s="48" t="b">
        <v>0</v>
      </c>
      <c r="L121" s="1"/>
    </row>
    <row r="122" spans="1:12" s="29" customFormat="1" ht="15" x14ac:dyDescent="0.2">
      <c r="A122" s="19" t="str">
        <f>Organization!$A$63</f>
        <v>PPPR-11</v>
      </c>
      <c r="B122" s="20" t="str">
        <f>VLOOKUP($A122,Organization!$A$13:$E$67,2,0)&amp;""</f>
        <v>Do you have an information security awareness program?</v>
      </c>
      <c r="C122" s="45" t="str">
        <f>VLOOKUP($A122,Organization!$A$13:$E$67,3,0)&amp;""</f>
        <v/>
      </c>
      <c r="D122" s="34" t="str">
        <f>IF(LEFT(VLOOKUP($A122,Organization!$A$13:$E$67,5,0),21)='Auto Responses'!$A$32,'Auto Responses'!$A$33,VLOOKUP($A122,Organization!$A$13:$E$67,4,0))&amp;""</f>
        <v/>
      </c>
      <c r="E122" s="330" t="str">
        <f>VLOOKUP($A122,Organization!$A$13:$E$67,5,0)&amp;""</f>
        <v/>
      </c>
      <c r="F122" s="195"/>
      <c r="G122" s="30" t="str">
        <f>VLOOKUP($A122,Questions!$A$2:$X$333,21,0)&amp;""</f>
        <v>Yes</v>
      </c>
      <c r="H122" s="185"/>
      <c r="I122" s="45" t="str">
        <f>VLOOKUP($A122,Questions!$A$2:$X$333,23,0)&amp;""</f>
        <v>Minor Importance</v>
      </c>
      <c r="J122" s="185"/>
      <c r="K122" s="48" t="b">
        <v>0</v>
      </c>
      <c r="L122" s="1"/>
    </row>
    <row r="123" spans="1:12" s="29" customFormat="1" ht="15" x14ac:dyDescent="0.2">
      <c r="A123" s="19" t="str">
        <f>Organization!$A$64</f>
        <v>PPPR-12</v>
      </c>
      <c r="B123" s="20" t="str">
        <f>VLOOKUP($A123,Organization!$A$13:$E$67,2,0)&amp;""</f>
        <v>Is security awareness training mandatory for all employees?</v>
      </c>
      <c r="C123" s="45" t="str">
        <f>VLOOKUP($A123,Organization!$A$13:$E$67,3,0)&amp;""</f>
        <v/>
      </c>
      <c r="D123" s="34" t="str">
        <f>IF(LEFT(VLOOKUP($A123,Organization!$A$13:$E$67,5,0),21)='Auto Responses'!$A$32,'Auto Responses'!$A$33,VLOOKUP($A123,Organization!$A$13:$E$67,4,0))&amp;""</f>
        <v/>
      </c>
      <c r="E123" s="330" t="str">
        <f>VLOOKUP($A123,Organization!$A$13:$E$67,5,0)&amp;""</f>
        <v/>
      </c>
      <c r="F123" s="195"/>
      <c r="G123" s="30" t="str">
        <f>VLOOKUP($A123,Questions!$A$2:$X$333,21,0)&amp;""</f>
        <v>Yes</v>
      </c>
      <c r="H123" s="185"/>
      <c r="I123" s="45" t="str">
        <f>VLOOKUP($A123,Questions!$A$2:$X$333,23,0)&amp;""</f>
        <v>Minor Importance</v>
      </c>
      <c r="J123" s="185"/>
      <c r="K123" s="48" t="b">
        <v>0</v>
      </c>
      <c r="L123" s="1"/>
    </row>
    <row r="124" spans="1:12" s="29" customFormat="1" ht="42.75" x14ac:dyDescent="0.2">
      <c r="A124" s="19" t="str">
        <f>Organization!$A$65</f>
        <v>PPPR-13</v>
      </c>
      <c r="B124" s="20" t="str">
        <f>VLOOKUP($A124,Organization!$A$13:$E$67,2,0)&amp;""</f>
        <v>Do you have process and procedure(s) documented, and currently followed, that require a review and update of the access list(s) for privileged accounts?</v>
      </c>
      <c r="C124" s="45" t="str">
        <f>VLOOKUP($A124,Organization!$A$13:$E$67,3,0)&amp;""</f>
        <v/>
      </c>
      <c r="D124" s="34" t="str">
        <f>IF(LEFT(VLOOKUP($A124,Organization!$A$13:$E$67,5,0),21)='Auto Responses'!$A$32,'Auto Responses'!$A$33,VLOOKUP($A124,Organization!$A$13:$E$67,4,0))&amp;""</f>
        <v/>
      </c>
      <c r="E124" s="330" t="str">
        <f>VLOOKUP($A124,Organization!$A$13:$E$67,5,0)&amp;""</f>
        <v/>
      </c>
      <c r="F124" s="195"/>
      <c r="G124" s="30" t="str">
        <f>VLOOKUP($A124,Questions!$A$2:$X$333,21,0)&amp;""</f>
        <v>Yes</v>
      </c>
      <c r="H124" s="185"/>
      <c r="I124" s="45" t="str">
        <f>VLOOKUP($A124,Questions!$A$2:$X$333,23,0)&amp;""</f>
        <v>Minor Importance</v>
      </c>
      <c r="J124" s="185"/>
      <c r="K124" s="48" t="b">
        <v>0</v>
      </c>
      <c r="L124" s="1"/>
    </row>
    <row r="125" spans="1:12" s="29" customFormat="1" ht="28.5" x14ac:dyDescent="0.2">
      <c r="A125" s="19" t="str">
        <f>Organization!$A$66</f>
        <v>PPPR-14</v>
      </c>
      <c r="B125" s="20" t="str">
        <f>VLOOKUP($A125,Organization!$A$13:$E$67,2,0)&amp;""</f>
        <v>Do you have documented, and currently implemented, internal audit processes and procedures?</v>
      </c>
      <c r="C125" s="45" t="str">
        <f>VLOOKUP($A125,Organization!$A$13:$E$67,3,0)&amp;""</f>
        <v/>
      </c>
      <c r="D125" s="34" t="str">
        <f>IF(LEFT(VLOOKUP($A125,Organization!$A$13:$E$67,5,0),21)='Auto Responses'!$A$32,'Auto Responses'!$A$33,VLOOKUP($A125,Organization!$A$13:$E$67,4,0))&amp;""</f>
        <v/>
      </c>
      <c r="E125" s="330" t="str">
        <f>VLOOKUP($A125,Organization!$A$13:$E$67,5,0)&amp;""</f>
        <v/>
      </c>
      <c r="F125" s="195"/>
      <c r="G125" s="30" t="str">
        <f>VLOOKUP($A125,Questions!$A$2:$X$333,21,0)&amp;""</f>
        <v>Yes</v>
      </c>
      <c r="H125" s="185"/>
      <c r="I125" s="45" t="str">
        <f>VLOOKUP($A125,Questions!$A$2:$X$333,23,0)&amp;""</f>
        <v>Minor Importance</v>
      </c>
      <c r="J125" s="185"/>
      <c r="K125" s="48" t="b">
        <v>0</v>
      </c>
      <c r="L125" s="1"/>
    </row>
    <row r="126" spans="1:12" s="29" customFormat="1" ht="29.25" thickBot="1" x14ac:dyDescent="0.25">
      <c r="A126" s="19" t="str">
        <f>Organization!$A$67</f>
        <v>PPPR-15</v>
      </c>
      <c r="B126" s="20" t="str">
        <f>VLOOKUP($A126,Organization!$A$13:$E$67,2,0)&amp;""</f>
        <v>Does your organization have physical security controls and policies in place?</v>
      </c>
      <c r="C126" s="45" t="str">
        <f>VLOOKUP($A126,Organization!$A$13:$E$67,3,0)&amp;""</f>
        <v/>
      </c>
      <c r="D126" s="34" t="str">
        <f>IF(LEFT(VLOOKUP($A126,Organization!$A$13:$E$67,5,0),21)='Auto Responses'!$A$32,'Auto Responses'!$A$33,VLOOKUP($A126,Organization!$A$13:$E$67,4,0))&amp;""</f>
        <v/>
      </c>
      <c r="E126" s="330" t="str">
        <f>VLOOKUP($A126,Organization!$A$13:$E$67,5,0)&amp;""</f>
        <v/>
      </c>
      <c r="F126" s="195"/>
      <c r="G126" s="30" t="str">
        <f>VLOOKUP($A126,Questions!$A$2:$X$333,21,0)&amp;""</f>
        <v>Yes</v>
      </c>
      <c r="H126" s="185"/>
      <c r="I126" s="45" t="str">
        <f>VLOOKUP($A126,Questions!$A$2:$X$333,23,0)&amp;""</f>
        <v>Minor Importance</v>
      </c>
      <c r="J126" s="185"/>
      <c r="K126" s="49" t="b">
        <v>0</v>
      </c>
      <c r="L126" s="1"/>
    </row>
    <row r="127" spans="1:12" s="1" customFormat="1" ht="18" x14ac:dyDescent="0.2">
      <c r="A127" s="63" t="str">
        <f>VLOOKUP(LEFT($A128,4),'Auto Responses'!$N$4:$O$38,2,0)&amp;""</f>
        <v xml:space="preserve"> Authentication, Authorization, and Account Management</v>
      </c>
      <c r="B127" s="22"/>
      <c r="C127" s="31"/>
      <c r="D127" s="31"/>
      <c r="E127" s="331"/>
      <c r="F127" s="131" t="s">
        <v>1030</v>
      </c>
      <c r="G127" s="335" t="s">
        <v>869</v>
      </c>
      <c r="H127" s="335" t="s">
        <v>871</v>
      </c>
      <c r="I127" s="335" t="s">
        <v>19</v>
      </c>
      <c r="J127" s="335" t="s">
        <v>856</v>
      </c>
      <c r="K127" s="335" t="s">
        <v>867</v>
      </c>
    </row>
    <row r="128" spans="1:12" s="29" customFormat="1" ht="165" x14ac:dyDescent="0.2">
      <c r="A128" s="19" t="str">
        <f>Product!$A$20</f>
        <v>AAAI-01</v>
      </c>
      <c r="B128" s="20" t="str">
        <f>VLOOKUP($A128,Product!$A$13:$E$61,2,0)&amp;""</f>
        <v>Does your solution support single sign-on (SSO) protocols for user and administrator authentication?*</v>
      </c>
      <c r="C128" s="45" t="str">
        <f>VLOOKUP($A128,Product!$A$13:$E$61,3,0)&amp;""</f>
        <v/>
      </c>
      <c r="D128" s="34" t="str">
        <f>IF(LEFT(VLOOKUP($A128,Product!$A$13:$E$61,5,0),21)='Auto Responses'!$A$32,'Auto Responses'!$A$33,VLOOKUP($A128,Product!$A$13:$E$61,4,0))&amp;""</f>
        <v/>
      </c>
      <c r="E128" s="330" t="str">
        <f>VLOOKUP($A128,Product!$A$13:$E$61,5,0)&amp;""</f>
        <v>Answer "yes" only if user AND administrator authentication is supported. If partially supported, answer "no." Ensure you respond to any guidance in the Additional Information column.</v>
      </c>
      <c r="F128" s="195"/>
      <c r="G128" s="30" t="str">
        <f>VLOOKUP($A128,Questions!$A$2:$X$333,21,0)&amp;""</f>
        <v>Yes</v>
      </c>
      <c r="H128" s="185"/>
      <c r="I128" s="45" t="str">
        <f>VLOOKUP($A128,Questions!$A$2:$X$333,23,0)&amp;""</f>
        <v>Critical Importance</v>
      </c>
      <c r="J128" s="185"/>
      <c r="K128" s="48" t="b">
        <v>0</v>
      </c>
      <c r="L128" s="1"/>
    </row>
    <row r="129" spans="1:12" s="29" customFormat="1" ht="28.5" x14ac:dyDescent="0.2">
      <c r="A129" s="19" t="str">
        <f>Product!$A$21</f>
        <v>AAAI-02</v>
      </c>
      <c r="B129" s="20" t="str">
        <f>VLOOKUP($A129,Product!$A$13:$E$61,2,0)&amp;""</f>
        <v>For customers not using SSO, does your solution support local authentication protocols for user and administrator authentication?*</v>
      </c>
      <c r="C129" s="45" t="str">
        <f>VLOOKUP($A129,Product!$A$13:$E$61,3,0)&amp;""</f>
        <v/>
      </c>
      <c r="D129" s="34" t="str">
        <f>IF(LEFT(VLOOKUP($A129,Product!$A$13:$E$61,5,0),21)='Auto Responses'!$A$32,'Auto Responses'!$A$33,VLOOKUP($A129,Product!$A$13:$E$61,4,0))&amp;""</f>
        <v/>
      </c>
      <c r="E129" s="330" t="str">
        <f>VLOOKUP($A129,Product!$A$13:$E$61,5,0)&amp;""</f>
        <v/>
      </c>
      <c r="F129" s="195"/>
      <c r="G129" s="30" t="str">
        <f>VLOOKUP($A129,Questions!$A$2:$X$333,21,0)&amp;""</f>
        <v>Yes</v>
      </c>
      <c r="H129" s="185"/>
      <c r="I129" s="45" t="str">
        <f>VLOOKUP($A129,Questions!$A$2:$X$333,23,0)&amp;""</f>
        <v>Critical Importance</v>
      </c>
      <c r="J129" s="185"/>
      <c r="K129" s="48" t="b">
        <v>0</v>
      </c>
      <c r="L129" s="1"/>
    </row>
    <row r="130" spans="1:12" s="29" customFormat="1" ht="28.5" x14ac:dyDescent="0.2">
      <c r="A130" s="19" t="str">
        <f>Product!$A$22</f>
        <v>AAAI-03</v>
      </c>
      <c r="B130" s="20" t="str">
        <f>VLOOKUP($A130,Product!$A$13:$E$61,2,0)&amp;""</f>
        <v>For customers not using SSO, can you enforce password/passphrase complexity requirements (provided by the institution)?*</v>
      </c>
      <c r="C130" s="45" t="str">
        <f>VLOOKUP($A130,Product!$A$13:$E$61,3,0)&amp;""</f>
        <v/>
      </c>
      <c r="D130" s="34" t="str">
        <f>IF(LEFT(VLOOKUP($A130,Product!$A$13:$E$61,5,0),21)='Auto Responses'!$A$32,'Auto Responses'!$A$33,VLOOKUP($A130,Product!$A$13:$E$61,4,0))&amp;""</f>
        <v/>
      </c>
      <c r="E130" s="330" t="str">
        <f>VLOOKUP($A130,Product!$A$13:$E$61,5,0)&amp;""</f>
        <v/>
      </c>
      <c r="F130" s="195"/>
      <c r="G130" s="30" t="str">
        <f>VLOOKUP($A130,Questions!$A$2:$X$333,21,0)&amp;""</f>
        <v>Yes</v>
      </c>
      <c r="H130" s="185"/>
      <c r="I130" s="45" t="str">
        <f>VLOOKUP($A130,Questions!$A$2:$X$333,23,0)&amp;""</f>
        <v>Critical Importance</v>
      </c>
      <c r="J130" s="185"/>
      <c r="K130" s="48" t="b">
        <v>0</v>
      </c>
      <c r="L130" s="1"/>
    </row>
    <row r="131" spans="1:12" s="29" customFormat="1" ht="105" x14ac:dyDescent="0.2">
      <c r="A131" s="19" t="str">
        <f>Product!$A$23</f>
        <v>AAAI-04</v>
      </c>
      <c r="B131" s="20" t="str">
        <f>VLOOKUP($A131,Product!$A$13:$E$61,2,0)&amp;""</f>
        <v>For customers not using SSO, does the system have password complexity or length limitations and/or restrictions?*</v>
      </c>
      <c r="C131" s="45" t="str">
        <f>VLOOKUP($A131,Product!$A$13:$E$61,3,0)&amp;""</f>
        <v/>
      </c>
      <c r="D131" s="34" t="str">
        <f>IF(LEFT(VLOOKUP($A131,Product!$A$13:$E$61,5,0),21)='Auto Responses'!$A$32,'Auto Responses'!$A$33,VLOOKUP($A131,Product!$A$13:$E$61,4,0))&amp;""</f>
        <v/>
      </c>
      <c r="E131" s="330" t="str">
        <f>VLOOKUP($A131,Product!$A$13:$E$61,5,0)&amp;""</f>
        <v>Answer "yes" if your solution has internal limits to password complexity (max length, certain special characters unsupported, etc.).</v>
      </c>
      <c r="F131" s="195"/>
      <c r="G131" s="30" t="str">
        <f>VLOOKUP($A131,Questions!$A$2:$X$333,21,0)&amp;""</f>
        <v>No</v>
      </c>
      <c r="H131" s="185"/>
      <c r="I131" s="45" t="str">
        <f>VLOOKUP($A131,Questions!$A$2:$X$333,23,0)&amp;""</f>
        <v>Critical Importance</v>
      </c>
      <c r="J131" s="185"/>
      <c r="K131" s="48" t="b">
        <v>0</v>
      </c>
      <c r="L131" s="1"/>
    </row>
    <row r="132" spans="1:12" s="29" customFormat="1" ht="42.75" x14ac:dyDescent="0.2">
      <c r="A132" s="19" t="str">
        <f>Product!$A$24</f>
        <v>AAAI-05</v>
      </c>
      <c r="B132" s="20" t="str">
        <f>VLOOKUP($A132,Product!$A$13:$E$61,2,0)&amp;""</f>
        <v>For customers not using SSO, do you have documented password/passphrase reset procedures that are currently implemented in the system and/or customer support?*</v>
      </c>
      <c r="C132" s="45" t="str">
        <f>VLOOKUP($A132,Product!$A$13:$E$61,3,0)&amp;""</f>
        <v/>
      </c>
      <c r="D132" s="34" t="str">
        <f>IF(LEFT(VLOOKUP($A132,Product!$A$13:$E$61,5,0),21)='Auto Responses'!$A$32,'Auto Responses'!$A$33,VLOOKUP($A132,Product!$A$13:$E$61,4,0))&amp;""</f>
        <v/>
      </c>
      <c r="E132" s="330" t="str">
        <f>VLOOKUP($A132,Product!$A$13:$E$61,5,0)&amp;""</f>
        <v/>
      </c>
      <c r="F132" s="195"/>
      <c r="G132" s="30" t="str">
        <f>VLOOKUP($A132,Questions!$A$2:$X$333,21,0)&amp;""</f>
        <v>Yes</v>
      </c>
      <c r="H132" s="185"/>
      <c r="I132" s="45" t="str">
        <f>VLOOKUP($A132,Questions!$A$2:$X$333,23,0)&amp;""</f>
        <v>Critical Importance</v>
      </c>
      <c r="J132" s="185"/>
      <c r="K132" s="48" t="b">
        <v>0</v>
      </c>
      <c r="L132" s="1"/>
    </row>
    <row r="133" spans="1:12" s="29" customFormat="1" ht="28.5" x14ac:dyDescent="0.2">
      <c r="A133" s="19" t="str">
        <f>Product!$A$25</f>
        <v>AAAI-06</v>
      </c>
      <c r="B133" s="20" t="str">
        <f>VLOOKUP($A133,Product!$A$13:$E$61,2,0)&amp;""</f>
        <v>Does your organization participate in InCommon or another eduGAIN-affiliated trust federation?*</v>
      </c>
      <c r="C133" s="45" t="str">
        <f>VLOOKUP($A133,Product!$A$13:$E$61,3,0)&amp;""</f>
        <v/>
      </c>
      <c r="D133" s="34" t="str">
        <f>IF(LEFT(VLOOKUP($A133,Product!$A$13:$E$61,5,0),21)='Auto Responses'!$A$32,'Auto Responses'!$A$33,VLOOKUP($A133,Product!$A$13:$E$61,4,0))&amp;""</f>
        <v/>
      </c>
      <c r="E133" s="330" t="str">
        <f>VLOOKUP($A133,Product!$A$13:$E$61,5,0)&amp;""</f>
        <v/>
      </c>
      <c r="F133" s="195"/>
      <c r="G133" s="30" t="str">
        <f>VLOOKUP($A133,Questions!$A$2:$X$333,21,0)&amp;""</f>
        <v>Yes</v>
      </c>
      <c r="H133" s="185"/>
      <c r="I133" s="45" t="str">
        <f>VLOOKUP($A133,Questions!$A$2:$X$333,23,0)&amp;""</f>
        <v>Critical Importance</v>
      </c>
      <c r="J133" s="185"/>
      <c r="K133" s="48" t="b">
        <v>0</v>
      </c>
      <c r="L133" s="1"/>
    </row>
    <row r="134" spans="1:12" s="29" customFormat="1" ht="28.5" x14ac:dyDescent="0.2">
      <c r="A134" s="19" t="str">
        <f>Product!$A$26</f>
        <v>AAAI-07</v>
      </c>
      <c r="B134" s="20" t="str">
        <f>VLOOKUP($A134,Product!$A$13:$E$61,2,0)&amp;""</f>
        <v>Are there any passwords/passphrases hard-coded into your systems or solutions?*</v>
      </c>
      <c r="C134" s="45" t="str">
        <f>VLOOKUP($A134,Product!$A$13:$E$61,3,0)&amp;""</f>
        <v/>
      </c>
      <c r="D134" s="34" t="str">
        <f>IF(LEFT(VLOOKUP($A134,Product!$A$13:$E$61,5,0),21)='Auto Responses'!$A$32,'Auto Responses'!$A$33,VLOOKUP($A134,Product!$A$13:$E$61,4,0))&amp;""</f>
        <v/>
      </c>
      <c r="E134" s="330" t="str">
        <f>VLOOKUP($A134,Product!$A$13:$E$61,5,0)&amp;""</f>
        <v/>
      </c>
      <c r="F134" s="195"/>
      <c r="G134" s="30" t="str">
        <f>VLOOKUP($A134,Questions!$A$2:$X$333,21,0)&amp;""</f>
        <v>No</v>
      </c>
      <c r="H134" s="185"/>
      <c r="I134" s="45" t="str">
        <f>VLOOKUP($A134,Questions!$A$2:$X$333,23,0)&amp;""</f>
        <v>Critical Importance</v>
      </c>
      <c r="J134" s="185"/>
      <c r="K134" s="48" t="b">
        <v>0</v>
      </c>
      <c r="L134" s="1"/>
    </row>
    <row r="135" spans="1:12" s="29" customFormat="1" ht="15" x14ac:dyDescent="0.2">
      <c r="A135" s="19" t="str">
        <f>Product!$A$27</f>
        <v>AAAI-08</v>
      </c>
      <c r="B135" s="20" t="str">
        <f>VLOOKUP($A135,Product!$A$13:$E$61,2,0)&amp;""</f>
        <v>Are you storing any passwords in plaintext?*</v>
      </c>
      <c r="C135" s="45" t="str">
        <f>VLOOKUP($A135,Product!$A$13:$E$61,3,0)&amp;""</f>
        <v/>
      </c>
      <c r="D135" s="34" t="str">
        <f>IF(LEFT(VLOOKUP($A135,Product!$A$13:$E$61,5,0),21)='Auto Responses'!$A$32,'Auto Responses'!$A$33,VLOOKUP($A135,Product!$A$13:$E$61,4,0))&amp;""</f>
        <v/>
      </c>
      <c r="E135" s="330" t="str">
        <f>VLOOKUP($A135,Product!$A$13:$E$61,5,0)&amp;""</f>
        <v/>
      </c>
      <c r="F135" s="195"/>
      <c r="G135" s="30" t="str">
        <f>VLOOKUP($A135,Questions!$A$2:$X$333,21,0)&amp;""</f>
        <v>No</v>
      </c>
      <c r="H135" s="185"/>
      <c r="I135" s="45" t="str">
        <f>VLOOKUP($A135,Questions!$A$2:$X$333,23,0)&amp;""</f>
        <v>Critical Importance</v>
      </c>
      <c r="J135" s="185"/>
      <c r="K135" s="48" t="b">
        <v>0</v>
      </c>
      <c r="L135" s="1"/>
    </row>
    <row r="136" spans="1:12" s="29" customFormat="1" ht="28.5" x14ac:dyDescent="0.2">
      <c r="A136" s="19" t="str">
        <f>Product!$A$28</f>
        <v>AAAI-09</v>
      </c>
      <c r="B136" s="20" t="str">
        <f>VLOOKUP($A136,Product!$A$13:$E$61,2,0)&amp;""</f>
        <v>Are audit logs available that include AT LEAST all of the following: login, logout, actions performed, and source IP address?*</v>
      </c>
      <c r="C136" s="45" t="str">
        <f>VLOOKUP($A136,Product!$A$13:$E$61,3,0)&amp;""</f>
        <v/>
      </c>
      <c r="D136" s="34" t="str">
        <f>IF(LEFT(VLOOKUP($A136,Product!$A$13:$E$61,5,0),21)='Auto Responses'!$A$32,'Auto Responses'!$A$33,VLOOKUP($A136,Product!$A$13:$E$61,4,0))&amp;""</f>
        <v/>
      </c>
      <c r="E136" s="330" t="str">
        <f>VLOOKUP($A136,Product!$A$13:$E$61,5,0)&amp;""</f>
        <v/>
      </c>
      <c r="F136" s="195"/>
      <c r="G136" s="30" t="str">
        <f>VLOOKUP($A136,Questions!$A$2:$X$333,21,0)&amp;""</f>
        <v>Yes</v>
      </c>
      <c r="H136" s="185"/>
      <c r="I136" s="45" t="str">
        <f>VLOOKUP($A136,Questions!$A$2:$X$333,23,0)&amp;""</f>
        <v>Critical Importance</v>
      </c>
      <c r="J136" s="185"/>
      <c r="K136" s="48" t="b">
        <v>0</v>
      </c>
      <c r="L136" s="1"/>
    </row>
    <row r="137" spans="1:12" s="29" customFormat="1" ht="85.5" x14ac:dyDescent="0.2">
      <c r="A137" s="19" t="str">
        <f>Product!$A$29</f>
        <v>AAAI-10</v>
      </c>
      <c r="B137" s="20"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05" t="str">
        <f>VLOOKUP($A137,Product!$A$13:$E$61,3,0)&amp;""</f>
        <v/>
      </c>
      <c r="D137" s="306" t="str">
        <f>IF(LEFT(VLOOKUP($A137,Product!$A$13:$E$61,5,0),21)='Auto Responses'!$A$32,'Auto Responses'!$A$33,VLOOKUP($A137,Product!$A$13:$E$61,4,0))&amp;""</f>
        <v/>
      </c>
      <c r="E137" s="332" t="str">
        <f>VLOOKUP($A137,Product!$A$13:$E$61,5,0)&amp;""</f>
        <v>Ensure that all elements of AAAI-10 are clearly stated in your response.</v>
      </c>
      <c r="F137" s="195"/>
      <c r="G137" s="30" t="str">
        <f>VLOOKUP($A137,Questions!$A$2:$X$333,21,0)&amp;""</f>
        <v>Not scored</v>
      </c>
      <c r="H137" s="185"/>
      <c r="I137" s="45" t="str">
        <f>VLOOKUP($A137,Questions!$A$2:$X$333,23,0)&amp;""</f>
        <v/>
      </c>
      <c r="J137" s="185"/>
      <c r="K137" s="48" t="b">
        <v>0</v>
      </c>
      <c r="L137" s="1"/>
    </row>
    <row r="138" spans="1:12" s="29" customFormat="1" ht="60" x14ac:dyDescent="0.2">
      <c r="A138" s="19" t="str">
        <f>Product!$A$30</f>
        <v>AAAI-11</v>
      </c>
      <c r="B138" s="20" t="str">
        <f>VLOOKUP($A138,Product!$A$13:$E$61,2,0)&amp;""</f>
        <v>Can you provide the institution documentation regarding the retention period for those logs, how logs are protected, and whether they are accessible to the customer (and if so, how)?*</v>
      </c>
      <c r="C138" s="45" t="str">
        <f>VLOOKUP($A138,Product!$A$13:$E$61,3,0)&amp;""</f>
        <v/>
      </c>
      <c r="D138" s="34" t="str">
        <f>IF(LEFT(VLOOKUP($A138,Product!$A$13:$E$61,5,0),21)='Auto Responses'!$A$32,'Auto Responses'!$A$33,VLOOKUP($A138,Product!$A$13:$E$61,4,0))&amp;""</f>
        <v/>
      </c>
      <c r="E138" s="330" t="str">
        <f>VLOOKUP($A138,Product!$A$13:$E$61,5,0)&amp;""</f>
        <v>Ensure that all elements of AAAI-11 are clearly stated in your response.</v>
      </c>
      <c r="F138" s="195"/>
      <c r="G138" s="30" t="str">
        <f>VLOOKUP($A138,Questions!$A$2:$X$333,21,0)&amp;""</f>
        <v>Yes</v>
      </c>
      <c r="H138" s="185"/>
      <c r="I138" s="45" t="str">
        <f>VLOOKUP($A138,Questions!$A$2:$X$333,23,0)&amp;""</f>
        <v>Critical Importance</v>
      </c>
      <c r="J138" s="185"/>
      <c r="K138" s="48" t="b">
        <v>0</v>
      </c>
      <c r="L138" s="1"/>
    </row>
    <row r="139" spans="1:12" s="29" customFormat="1" ht="28.5" x14ac:dyDescent="0.2">
      <c r="A139" s="19" t="str">
        <f>Product!$A$31</f>
        <v>AAAI-12</v>
      </c>
      <c r="B139" s="20" t="str">
        <f>VLOOKUP($A139,Product!$A$13:$E$61,2,0)&amp;""</f>
        <v>For customers not using SSO, does your application support integration with other authentication and authorization systems?</v>
      </c>
      <c r="C139" s="45" t="str">
        <f>VLOOKUP($A139,Product!$A$13:$E$61,3,0)&amp;""</f>
        <v/>
      </c>
      <c r="D139" s="34" t="str">
        <f>IF(LEFT(VLOOKUP($A139,Product!$A$13:$E$61,5,0),21)='Auto Responses'!$A$32,'Auto Responses'!$A$33,VLOOKUP($A139,Product!$A$13:$E$61,4,0))&amp;""</f>
        <v/>
      </c>
      <c r="E139" s="330" t="str">
        <f>VLOOKUP($A139,Product!$A$13:$E$61,5,0)&amp;""</f>
        <v/>
      </c>
      <c r="F139" s="195"/>
      <c r="G139" s="30" t="str">
        <f>VLOOKUP($A139,Questions!$A$2:$X$333,21,0)&amp;""</f>
        <v>Yes</v>
      </c>
      <c r="H139" s="185"/>
      <c r="I139" s="45" t="str">
        <f>VLOOKUP($A139,Questions!$A$2:$X$333,23,0)&amp;""</f>
        <v>Standard Importance</v>
      </c>
      <c r="J139" s="185"/>
      <c r="K139" s="48" t="b">
        <v>0</v>
      </c>
      <c r="L139" s="1"/>
    </row>
    <row r="140" spans="1:12" s="29" customFormat="1" ht="42.75" x14ac:dyDescent="0.2">
      <c r="A140" s="19" t="str">
        <f>Product!$A$32</f>
        <v>AAAI-13</v>
      </c>
      <c r="B140" s="20" t="str">
        <f>VLOOKUP($A140,Product!$A$13:$E$61,2,0)&amp;""</f>
        <v>Do you allow the customer to specify attribute mappings for any needed information beyond a user identifier? (e.g., Reference eduPerson, ePPA/ePPN/ePE)</v>
      </c>
      <c r="C140" s="45" t="str">
        <f>VLOOKUP($A140,Product!$A$13:$E$61,3,0)&amp;""</f>
        <v/>
      </c>
      <c r="D140" s="34" t="str">
        <f>IF(LEFT(VLOOKUP($A140,Product!$A$13:$E$61,5,0),21)='Auto Responses'!$A$32,'Auto Responses'!$A$33,VLOOKUP($A140,Product!$A$13:$E$61,4,0))&amp;""</f>
        <v/>
      </c>
      <c r="E140" s="330" t="str">
        <f>VLOOKUP($A140,Product!$A$13:$E$61,5,0)&amp;""</f>
        <v/>
      </c>
      <c r="F140" s="195"/>
      <c r="G140" s="30" t="str">
        <f>VLOOKUP($A140,Questions!$A$2:$X$333,21,0)&amp;""</f>
        <v>Yes</v>
      </c>
      <c r="H140" s="185"/>
      <c r="I140" s="45" t="str">
        <f>VLOOKUP($A140,Questions!$A$2:$X$333,23,0)&amp;""</f>
        <v>Standard Importance</v>
      </c>
      <c r="J140" s="185"/>
      <c r="K140" s="48" t="b">
        <v>0</v>
      </c>
      <c r="L140" s="1"/>
    </row>
    <row r="141" spans="1:12" s="29" customFormat="1" ht="28.5" x14ac:dyDescent="0.2">
      <c r="A141" s="19" t="str">
        <f>Product!$A$33</f>
        <v>AAAI-14</v>
      </c>
      <c r="B141" s="20" t="str">
        <f>VLOOKUP($A141,Product!$A$13:$E$61,2,0)&amp;""</f>
        <v>For customers not using SSO, does your application support directory integration for user accounts?</v>
      </c>
      <c r="C141" s="45" t="str">
        <f>VLOOKUP($A141,Product!$A$13:$E$61,3,0)&amp;""</f>
        <v/>
      </c>
      <c r="D141" s="34" t="str">
        <f>IF(LEFT(VLOOKUP($A141,Product!$A$13:$E$61,5,0),21)='Auto Responses'!$A$32,'Auto Responses'!$A$33,VLOOKUP($A141,Product!$A$13:$E$61,4,0))&amp;""</f>
        <v/>
      </c>
      <c r="E141" s="330" t="str">
        <f>VLOOKUP($A141,Product!$A$13:$E$61,5,0)&amp;""</f>
        <v/>
      </c>
      <c r="F141" s="195"/>
      <c r="G141" s="30" t="str">
        <f>VLOOKUP($A141,Questions!$A$2:$X$333,21,0)&amp;""</f>
        <v>Yes</v>
      </c>
      <c r="H141" s="185"/>
      <c r="I141" s="45" t="str">
        <f>VLOOKUP($A141,Questions!$A$2:$X$333,23,0)&amp;""</f>
        <v>Standard Importance</v>
      </c>
      <c r="J141" s="185"/>
      <c r="K141" s="48" t="b">
        <v>0</v>
      </c>
      <c r="L141" s="1"/>
    </row>
    <row r="142" spans="1:12" s="29" customFormat="1" ht="135" x14ac:dyDescent="0.2">
      <c r="A142" s="19" t="str">
        <f>Product!$A$34</f>
        <v>AAAI-15</v>
      </c>
      <c r="B142" s="20" t="str">
        <f>VLOOKUP($A142,Product!$A$13:$E$61,2,0)&amp;""</f>
        <v>Does your solution support any of the following web SSO standards: SAML2 (with redirect flow), OIDC, CAS, or other?</v>
      </c>
      <c r="C142" s="45" t="str">
        <f>VLOOKUP($A142,Product!$A$13:$E$61,3,0)&amp;""</f>
        <v/>
      </c>
      <c r="D142" s="34" t="str">
        <f>IF(LEFT(VLOOKUP($A142,Product!$A$13:$E$61,5,0),21)='Auto Responses'!$A$32,'Auto Responses'!$A$33,VLOOKUP($A142,Product!$A$13:$E$61,4,0))&amp;""</f>
        <v/>
      </c>
      <c r="E142" s="330" t="str">
        <f>VLOOKUP($A142,Product!$A$13:$E$61,5,0)&amp;""</f>
        <v>An answer of "yes" should be well-supported in the Additional Information column, and all elements of interest should be sufficiently addressed.</v>
      </c>
      <c r="F142" s="195"/>
      <c r="G142" s="30" t="str">
        <f>VLOOKUP($A142,Questions!$A$2:$X$333,21,0)&amp;""</f>
        <v>Yes</v>
      </c>
      <c r="H142" s="185"/>
      <c r="I142" s="45" t="str">
        <f>VLOOKUP($A142,Questions!$A$2:$X$333,23,0)&amp;""</f>
        <v>Minor Importance</v>
      </c>
      <c r="J142" s="185"/>
      <c r="K142" s="48" t="b">
        <v>0</v>
      </c>
      <c r="L142" s="1"/>
    </row>
    <row r="143" spans="1:12" s="29" customFormat="1" ht="15" x14ac:dyDescent="0.2">
      <c r="A143" s="19" t="str">
        <f>Product!$A$35</f>
        <v>AAAI-16</v>
      </c>
      <c r="B143" s="20" t="str">
        <f>VLOOKUP($A143,Product!$A$13:$E$61,2,0)&amp;""</f>
        <v>Do you support differentiation between email address and user identifier?</v>
      </c>
      <c r="C143" s="45" t="str">
        <f>VLOOKUP($A143,Product!$A$13:$E$61,3,0)&amp;""</f>
        <v/>
      </c>
      <c r="D143" s="34" t="str">
        <f>IF(LEFT(VLOOKUP($A143,Product!$A$13:$E$61,5,0),21)='Auto Responses'!$A$32,'Auto Responses'!$A$33,VLOOKUP($A143,Product!$A$13:$E$61,4,0))&amp;""</f>
        <v/>
      </c>
      <c r="E143" s="330" t="str">
        <f>VLOOKUP($A143,Product!$A$13:$E$61,5,0)&amp;""</f>
        <v/>
      </c>
      <c r="F143" s="195"/>
      <c r="G143" s="30" t="str">
        <f>VLOOKUP($A143,Questions!$A$2:$X$333,21,0)&amp;""</f>
        <v>Yes</v>
      </c>
      <c r="H143" s="185"/>
      <c r="I143" s="45" t="str">
        <f>VLOOKUP($A143,Questions!$A$2:$X$333,23,0)&amp;""</f>
        <v>Minor Importance</v>
      </c>
      <c r="J143" s="185"/>
      <c r="K143" s="48" t="b">
        <v>0</v>
      </c>
      <c r="L143" s="1"/>
    </row>
    <row r="144" spans="1:12" s="29" customFormat="1" ht="42.75" x14ac:dyDescent="0.2">
      <c r="A144" s="19" t="str">
        <f>Product!$A$36</f>
        <v>AAAI-17</v>
      </c>
      <c r="B144" s="20" t="str">
        <f>VLOOKUP($A144,Product!$A$13:$E$61,2,0)&amp;""</f>
        <v>For customers not using SSO, does your application and/or user frontend/portal support multifactor authentication (e.g., Duo, Google Authenticator, OTP, etc.)?</v>
      </c>
      <c r="C144" s="45" t="str">
        <f>VLOOKUP($A144,Product!$A$13:$E$61,3,0)&amp;""</f>
        <v/>
      </c>
      <c r="D144" s="34" t="str">
        <f>IF(LEFT(VLOOKUP($A144,Product!$A$13:$E$61,5,0),21)='Auto Responses'!$A$32,'Auto Responses'!$A$33,VLOOKUP($A144,Product!$A$13:$E$61,4,0))&amp;""</f>
        <v/>
      </c>
      <c r="E144" s="330" t="str">
        <f>VLOOKUP($A144,Product!$A$13:$E$61,5,0)&amp;""</f>
        <v/>
      </c>
      <c r="F144" s="195"/>
      <c r="G144" s="30" t="str">
        <f>VLOOKUP($A144,Questions!$A$2:$X$333,21,0)&amp;""</f>
        <v>Yes</v>
      </c>
      <c r="H144" s="185"/>
      <c r="I144" s="45" t="str">
        <f>VLOOKUP($A144,Questions!$A$2:$X$333,23,0)&amp;""</f>
        <v>Minor Importance</v>
      </c>
      <c r="J144" s="185"/>
      <c r="K144" s="48" t="b">
        <v>0</v>
      </c>
      <c r="L144" s="1"/>
    </row>
    <row r="145" spans="1:12" s="29" customFormat="1" ht="28.5" x14ac:dyDescent="0.2">
      <c r="A145" s="19" t="str">
        <f>Product!$A$37</f>
        <v>AAAI-18</v>
      </c>
      <c r="B145" s="20" t="str">
        <f>VLOOKUP($A145,Product!$A$13:$E$61,2,0)&amp;""</f>
        <v>Does your application automatically lock the session or log out an account after a period of inactivity?</v>
      </c>
      <c r="C145" s="45" t="str">
        <f>VLOOKUP($A145,Product!$A$13:$E$61,3,0)&amp;""</f>
        <v/>
      </c>
      <c r="D145" s="34" t="str">
        <f>IF(LEFT(VLOOKUP($A145,Product!$A$13:$E$61,5,0),21)='Auto Responses'!$A$32,'Auto Responses'!$A$33,VLOOKUP($A145,Product!$A$13:$E$61,4,0))&amp;""</f>
        <v/>
      </c>
      <c r="E145" s="330" t="str">
        <f>VLOOKUP($A145,Product!$A$13:$E$61,5,0)&amp;""</f>
        <v/>
      </c>
      <c r="F145" s="195"/>
      <c r="G145" s="30" t="str">
        <f>VLOOKUP($A145,Questions!$A$2:$X$333,21,0)&amp;""</f>
        <v>Yes</v>
      </c>
      <c r="H145" s="185"/>
      <c r="I145" s="45" t="str">
        <f>VLOOKUP($A145,Questions!$A$2:$X$333,23,0)&amp;""</f>
        <v>Minor Importance</v>
      </c>
      <c r="J145" s="185"/>
      <c r="K145" s="48" t="b">
        <v>0</v>
      </c>
      <c r="L145" s="1"/>
    </row>
    <row r="146" spans="1:12" s="1" customFormat="1" ht="18" x14ac:dyDescent="0.2">
      <c r="A146" s="63" t="str">
        <f>VLOOKUP(LEFT($A147,4),'Auto Responses'!$N$4:$O$38,2,0)&amp;""</f>
        <v xml:space="preserve"> Data</v>
      </c>
      <c r="B146" s="22"/>
      <c r="C146" s="31"/>
      <c r="D146" s="31"/>
      <c r="E146" s="331"/>
      <c r="F146" s="131" t="s">
        <v>1030</v>
      </c>
      <c r="G146" s="335" t="s">
        <v>869</v>
      </c>
      <c r="H146" s="335" t="s">
        <v>871</v>
      </c>
      <c r="I146" s="335" t="s">
        <v>19</v>
      </c>
      <c r="J146" s="335" t="s">
        <v>856</v>
      </c>
      <c r="K146" s="335" t="s">
        <v>867</v>
      </c>
    </row>
    <row r="147" spans="1:12" s="29" customFormat="1" ht="42.75" x14ac:dyDescent="0.2">
      <c r="A147" s="19" t="str">
        <f>Product!$A$39</f>
        <v>DATA-01</v>
      </c>
      <c r="B147" s="20" t="str">
        <f>VLOOKUP($A147,Product!$A$13:$E$61,2,0)&amp;""</f>
        <v>Will the institution's data be stored on any devices (database servers, file servers, SAN, NAS, etc.) configured with non-RFC 1918/4193 (i.e., publicly routable) IP addresses?*</v>
      </c>
      <c r="C147" s="45" t="str">
        <f>VLOOKUP($A147,Product!$A$13:$E$61,3,0)&amp;""</f>
        <v/>
      </c>
      <c r="D147" s="34" t="str">
        <f>IF(LEFT(VLOOKUP($A147,Product!$A$13:$E$61,5,0),21)='Auto Responses'!$A$32,'Auto Responses'!$A$33,VLOOKUP($A147,Product!$A$13:$E$61,4,0))&amp;""</f>
        <v/>
      </c>
      <c r="E147" s="330" t="str">
        <f>VLOOKUP($A147,Product!$A$13:$E$61,5,0)&amp;""</f>
        <v/>
      </c>
      <c r="F147" s="195"/>
      <c r="G147" s="30" t="str">
        <f>VLOOKUP($A147,Questions!$A$2:$X$333,21,0)&amp;""</f>
        <v>No</v>
      </c>
      <c r="H147" s="185"/>
      <c r="I147" s="45" t="str">
        <f>VLOOKUP($A147,Questions!$A$2:$X$333,23,0)&amp;""</f>
        <v>Critical Importance</v>
      </c>
      <c r="J147" s="185"/>
      <c r="K147" s="48" t="b">
        <v>0</v>
      </c>
      <c r="L147" s="1"/>
    </row>
    <row r="148" spans="1:12" s="29" customFormat="1" ht="28.5" x14ac:dyDescent="0.2">
      <c r="A148" s="19" t="str">
        <f>Product!$A$40</f>
        <v>DATA-02</v>
      </c>
      <c r="B148" s="20" t="str">
        <f>VLOOKUP($A148,Product!$A$13:$E$61,2,0)&amp;""</f>
        <v>Is the transport of sensitive data encrypted using security protocols/algorithms (e.g., system-to-client)?*</v>
      </c>
      <c r="C148" s="45" t="str">
        <f>VLOOKUP($A148,Product!$A$13:$E$61,3,0)&amp;""</f>
        <v/>
      </c>
      <c r="D148" s="34" t="str">
        <f>IF(LEFT(VLOOKUP($A148,Product!$A$13:$E$61,5,0),21)='Auto Responses'!$A$32,'Auto Responses'!$A$33,VLOOKUP($A148,Product!$A$13:$E$61,4,0))&amp;""</f>
        <v/>
      </c>
      <c r="E148" s="330" t="str">
        <f>VLOOKUP($A148,Product!$A$13:$E$61,5,0)&amp;""</f>
        <v/>
      </c>
      <c r="F148" s="195"/>
      <c r="G148" s="30" t="str">
        <f>VLOOKUP($A148,Questions!$A$2:$X$333,21,0)&amp;""</f>
        <v>Yes</v>
      </c>
      <c r="H148" s="185"/>
      <c r="I148" s="45" t="str">
        <f>VLOOKUP($A148,Questions!$A$2:$X$333,23,0)&amp;""</f>
        <v>Critical Importance</v>
      </c>
      <c r="J148" s="185"/>
      <c r="K148" s="48" t="b">
        <v>0</v>
      </c>
      <c r="L148" s="1"/>
    </row>
    <row r="149" spans="1:12" s="29" customFormat="1" ht="42.75" x14ac:dyDescent="0.2">
      <c r="A149" s="19" t="str">
        <f>Product!$A$41</f>
        <v>DATA-03</v>
      </c>
      <c r="B149" s="20" t="str">
        <f>VLOOKUP($A149,Product!$A$13:$E$61,2,0)&amp;""</f>
        <v>Is the storage of sensitive data encrypted using security protocols/algorithms (e.g., disk encryption, at-rest, files, and within a running database)?*</v>
      </c>
      <c r="C149" s="45" t="str">
        <f>VLOOKUP($A149,Product!$A$13:$E$61,3,0)&amp;""</f>
        <v/>
      </c>
      <c r="D149" s="34" t="str">
        <f>IF(LEFT(VLOOKUP($A149,Product!$A$13:$E$61,5,0),21)='Auto Responses'!$A$32,'Auto Responses'!$A$33,VLOOKUP($A149,Product!$A$13:$E$61,4,0))&amp;""</f>
        <v/>
      </c>
      <c r="E149" s="330" t="str">
        <f>VLOOKUP($A149,Product!$A$13:$E$61,5,0)&amp;""</f>
        <v/>
      </c>
      <c r="F149" s="195"/>
      <c r="G149" s="30" t="str">
        <f>VLOOKUP($A149,Questions!$A$2:$X$333,21,0)&amp;""</f>
        <v>Yes</v>
      </c>
      <c r="H149" s="185"/>
      <c r="I149" s="45" t="str">
        <f>VLOOKUP($A149,Questions!$A$2:$X$333,23,0)&amp;""</f>
        <v>Critical Importance</v>
      </c>
      <c r="J149" s="185"/>
      <c r="K149" s="48" t="b">
        <v>0</v>
      </c>
      <c r="L149" s="1"/>
    </row>
    <row r="150" spans="1:12" s="29" customFormat="1" ht="28.5" x14ac:dyDescent="0.2">
      <c r="A150" s="19" t="str">
        <f>Product!$A$42</f>
        <v>DATA-04</v>
      </c>
      <c r="B150" s="20" t="str">
        <f>VLOOKUP($A150,Product!$A$13:$E$61,2,0)&amp;""</f>
        <v>Do all cryptographic modules in use in your solution conform to the Federal Information Processing Standards (FIPS PUB 140-2 or 140-3)?*</v>
      </c>
      <c r="C150" s="45" t="str">
        <f>VLOOKUP($A150,Product!$A$13:$E$61,3,0)&amp;""</f>
        <v/>
      </c>
      <c r="D150" s="34" t="str">
        <f>IF(LEFT(VLOOKUP($A150,Product!$A$13:$E$61,5,0),21)='Auto Responses'!$A$32,'Auto Responses'!$A$33,VLOOKUP($A150,Product!$A$13:$E$61,4,0))&amp;""</f>
        <v/>
      </c>
      <c r="E150" s="330" t="str">
        <f>VLOOKUP($A150,Product!$A$13:$E$61,5,0)&amp;""</f>
        <v/>
      </c>
      <c r="F150" s="195"/>
      <c r="G150" s="30" t="str">
        <f>VLOOKUP($A150,Questions!$A$2:$X$333,21,0)&amp;""</f>
        <v>Yes</v>
      </c>
      <c r="H150" s="185"/>
      <c r="I150" s="45" t="str">
        <f>VLOOKUP($A150,Questions!$A$2:$X$333,23,0)&amp;""</f>
        <v>Critical Importance</v>
      </c>
      <c r="J150" s="185"/>
      <c r="K150" s="48" t="b">
        <v>0</v>
      </c>
      <c r="L150" s="1"/>
    </row>
    <row r="151" spans="1:12" s="29" customFormat="1" ht="28.5" x14ac:dyDescent="0.2">
      <c r="A151" s="19" t="str">
        <f>Product!$A$43</f>
        <v>DATA-05</v>
      </c>
      <c r="B151" s="20" t="str">
        <f>VLOOKUP($A151,Product!$A$13:$E$61,2,0)&amp;""</f>
        <v>Will the institution's data be available within the system for a period of time at the completion of this contract?*</v>
      </c>
      <c r="C151" s="45" t="str">
        <f>VLOOKUP($A151,Product!$A$13:$E$61,3,0)&amp;""</f>
        <v/>
      </c>
      <c r="D151" s="34" t="str">
        <f>IF(LEFT(VLOOKUP($A151,Product!$A$13:$E$61,5,0),21)='Auto Responses'!$A$32,'Auto Responses'!$A$33,VLOOKUP($A151,Product!$A$13:$E$61,4,0))&amp;""</f>
        <v/>
      </c>
      <c r="E151" s="330" t="str">
        <f>VLOOKUP($A151,Product!$A$13:$E$61,5,0)&amp;""</f>
        <v/>
      </c>
      <c r="F151" s="195"/>
      <c r="G151" s="30" t="str">
        <f>VLOOKUP($A151,Questions!$A$2:$X$333,21,0)&amp;""</f>
        <v>Yes</v>
      </c>
      <c r="H151" s="185"/>
      <c r="I151" s="45" t="str">
        <f>VLOOKUP($A151,Questions!$A$2:$X$333,23,0)&amp;""</f>
        <v>Critical Importance</v>
      </c>
      <c r="J151" s="185"/>
      <c r="K151" s="48" t="b">
        <v>0</v>
      </c>
      <c r="L151" s="1"/>
    </row>
    <row r="152" spans="1:12" s="29" customFormat="1" ht="28.5" x14ac:dyDescent="0.2">
      <c r="A152" s="19" t="str">
        <f>Product!$A$44</f>
        <v>DATA-06</v>
      </c>
      <c r="B152" s="20" t="str">
        <f>VLOOKUP($A152,Product!$A$13:$E$61,2,0)&amp;""</f>
        <v>Are ownership rights to all data, inputs, outputs, and metadata retained even through a provider acquisition or bankruptcy event?*</v>
      </c>
      <c r="C152" s="45" t="str">
        <f>VLOOKUP($A152,Product!$A$13:$E$61,3,0)&amp;""</f>
        <v/>
      </c>
      <c r="D152" s="34" t="str">
        <f>IF(LEFT(VLOOKUP($A152,Product!$A$13:$E$61,5,0),21)='Auto Responses'!$A$32,'Auto Responses'!$A$33,VLOOKUP($A152,Product!$A$13:$E$61,4,0))&amp;""</f>
        <v/>
      </c>
      <c r="E152" s="330" t="str">
        <f>VLOOKUP($A152,Product!$A$13:$E$61,5,0)&amp;""</f>
        <v/>
      </c>
      <c r="F152" s="195"/>
      <c r="G152" s="30" t="str">
        <f>VLOOKUP($A152,Questions!$A$2:$X$333,21,0)&amp;""</f>
        <v>Yes</v>
      </c>
      <c r="H152" s="185"/>
      <c r="I152" s="45" t="str">
        <f>VLOOKUP($A152,Questions!$A$2:$X$333,23,0)&amp;""</f>
        <v>Critical Importance</v>
      </c>
      <c r="J152" s="185"/>
      <c r="K152" s="48" t="b">
        <v>0</v>
      </c>
      <c r="L152" s="1"/>
    </row>
    <row r="153" spans="1:12" s="29" customFormat="1" ht="28.5" x14ac:dyDescent="0.2">
      <c r="A153" s="19" t="str">
        <f>Product!$A$45</f>
        <v>DATA-07</v>
      </c>
      <c r="B153" s="20" t="str">
        <f>VLOOKUP($A153,Product!$A$13:$E$61,2,0)&amp;""</f>
        <v>Do backups containing the institution's data ever leave the institution's data zone either physically or via network routing?*</v>
      </c>
      <c r="C153" s="45" t="str">
        <f>VLOOKUP($A153,Product!$A$13:$E$61,3,0)&amp;""</f>
        <v/>
      </c>
      <c r="D153" s="34" t="str">
        <f>IF(LEFT(VLOOKUP($A153,Product!$A$13:$E$61,5,0),21)='Auto Responses'!$A$32,'Auto Responses'!$A$33,VLOOKUP($A153,Product!$A$13:$E$61,4,0))&amp;""</f>
        <v/>
      </c>
      <c r="E153" s="330" t="str">
        <f>VLOOKUP($A153,Product!$A$13:$E$61,5,0)&amp;""</f>
        <v/>
      </c>
      <c r="F153" s="195"/>
      <c r="G153" s="30" t="str">
        <f>VLOOKUP($A153,Questions!$A$2:$X$333,21,0)&amp;""</f>
        <v>No</v>
      </c>
      <c r="H153" s="185"/>
      <c r="I153" s="45" t="str">
        <f>VLOOKUP($A153,Questions!$A$2:$X$333,23,0)&amp;""</f>
        <v>Critical Importance</v>
      </c>
      <c r="J153" s="185"/>
      <c r="K153" s="48" t="b">
        <v>0</v>
      </c>
      <c r="L153" s="1"/>
    </row>
    <row r="154" spans="1:12" s="29" customFormat="1" ht="28.5" x14ac:dyDescent="0.2">
      <c r="A154" s="19" t="str">
        <f>Product!$A$46</f>
        <v>DATA-08</v>
      </c>
      <c r="B154" s="20" t="str">
        <f>VLOOKUP($A154,Product!$A$13:$E$61,2,0)&amp;""</f>
        <v>Is media used for long-term retention of business data and archival purposes stored in a secure, environmentally protected area?*</v>
      </c>
      <c r="C154" s="45" t="str">
        <f>VLOOKUP($A154,Product!$A$13:$E$61,3,0)&amp;""</f>
        <v/>
      </c>
      <c r="D154" s="34" t="str">
        <f>IF(LEFT(VLOOKUP($A154,Product!$A$13:$E$61,5,0),21)='Auto Responses'!$A$32,'Auto Responses'!$A$33,VLOOKUP($A154,Product!$A$13:$E$61,4,0))&amp;""</f>
        <v/>
      </c>
      <c r="E154" s="330" t="str">
        <f>VLOOKUP($A154,Product!$A$13:$E$61,5,0)&amp;""</f>
        <v/>
      </c>
      <c r="F154" s="195"/>
      <c r="G154" s="30" t="str">
        <f>VLOOKUP($A154,Questions!$A$2:$X$333,21,0)&amp;""</f>
        <v>Yes</v>
      </c>
      <c r="H154" s="185"/>
      <c r="I154" s="45" t="str">
        <f>VLOOKUP($A154,Questions!$A$2:$X$333,23,0)&amp;""</f>
        <v>Critical Importance</v>
      </c>
      <c r="J154" s="185"/>
      <c r="K154" s="48" t="b">
        <v>0</v>
      </c>
      <c r="L154" s="1"/>
    </row>
    <row r="155" spans="1:12" s="29" customFormat="1" ht="45" x14ac:dyDescent="0.2">
      <c r="A155" s="19" t="str">
        <f>Product!$A$47</f>
        <v>DATA-09</v>
      </c>
      <c r="B155" s="20" t="str">
        <f>VLOOKUP($A155,Product!$A$13:$E$61,2,0)&amp;""</f>
        <v>At the completion of this contract, will data be returned to the institution and/or deleted from all your systems and archives?</v>
      </c>
      <c r="C155" s="45" t="str">
        <f>VLOOKUP($A155,Product!$A$13:$E$61,3,0)&amp;""</f>
        <v/>
      </c>
      <c r="D155" s="34" t="str">
        <f>IF(LEFT(VLOOKUP($A155,Product!$A$13:$E$61,5,0),21)='Auto Responses'!$A$32,'Auto Responses'!$A$33,VLOOKUP($A155,Product!$A$13:$E$61,4,0))&amp;""</f>
        <v/>
      </c>
      <c r="E155" s="330" t="str">
        <f>VLOOKUP($A155,Product!$A$13:$E$61,5,0)&amp;""</f>
        <v xml:space="preserve">Please specify if it will be returned, deleted, or both. </v>
      </c>
      <c r="F155" s="195"/>
      <c r="G155" s="30" t="str">
        <f>VLOOKUP($A155,Questions!$A$2:$X$333,21,0)&amp;""</f>
        <v>Yes</v>
      </c>
      <c r="H155" s="185"/>
      <c r="I155" s="45" t="str">
        <f>VLOOKUP($A155,Questions!$A$2:$X$333,23,0)&amp;""</f>
        <v>Standard Importance</v>
      </c>
      <c r="J155" s="185"/>
      <c r="K155" s="48" t="b">
        <v>0</v>
      </c>
      <c r="L155" s="1"/>
    </row>
    <row r="156" spans="1:12" s="29" customFormat="1" ht="15" x14ac:dyDescent="0.2">
      <c r="A156" s="19" t="str">
        <f>Product!$A$48</f>
        <v>DATA-10</v>
      </c>
      <c r="B156" s="20" t="str">
        <f>VLOOKUP($A156,Product!$A$13:$E$61,2,0)&amp;""</f>
        <v>Can the institution extract a full or partial backup of data?</v>
      </c>
      <c r="C156" s="45" t="str">
        <f>VLOOKUP($A156,Product!$A$13:$E$61,3,0)&amp;""</f>
        <v/>
      </c>
      <c r="D156" s="34" t="str">
        <f>IF(LEFT(VLOOKUP($A156,Product!$A$13:$E$61,5,0),21)='Auto Responses'!$A$32,'Auto Responses'!$A$33,VLOOKUP($A156,Product!$A$13:$E$61,4,0))&amp;""</f>
        <v/>
      </c>
      <c r="E156" s="330" t="str">
        <f>VLOOKUP($A156,Product!$A$13:$E$61,5,0)&amp;""</f>
        <v/>
      </c>
      <c r="F156" s="195"/>
      <c r="G156" s="30" t="str">
        <f>VLOOKUP($A156,Questions!$A$2:$X$333,21,0)&amp;""</f>
        <v>Yes</v>
      </c>
      <c r="H156" s="185"/>
      <c r="I156" s="45" t="str">
        <f>VLOOKUP($A156,Questions!$A$2:$X$333,23,0)&amp;""</f>
        <v>Standard Importance</v>
      </c>
      <c r="J156" s="185"/>
      <c r="K156" s="48" t="b">
        <v>0</v>
      </c>
      <c r="L156" s="1"/>
    </row>
    <row r="157" spans="1:12" s="29" customFormat="1" ht="42.75" x14ac:dyDescent="0.2">
      <c r="A157" s="19" t="str">
        <f>Product!$A$49</f>
        <v>DATA-11</v>
      </c>
      <c r="B157" s="20" t="str">
        <f>VLOOKUP($A157,Product!$A$13:$E$61,2,0)&amp;""</f>
        <v>Do current backups include all operating system software, utilities, security software, application software, and data files necessary for recovery?</v>
      </c>
      <c r="C157" s="45" t="str">
        <f>VLOOKUP($A157,Product!$A$13:$E$61,3,0)&amp;""</f>
        <v/>
      </c>
      <c r="D157" s="34" t="str">
        <f>IF(LEFT(VLOOKUP($A157,Product!$A$13:$E$61,5,0),21)='Auto Responses'!$A$32,'Auto Responses'!$A$33,VLOOKUP($A157,Product!$A$13:$E$61,4,0))&amp;""</f>
        <v/>
      </c>
      <c r="E157" s="330" t="str">
        <f>VLOOKUP($A157,Product!$A$13:$E$61,5,0)&amp;""</f>
        <v/>
      </c>
      <c r="F157" s="195"/>
      <c r="G157" s="30" t="str">
        <f>VLOOKUP($A157,Questions!$A$2:$X$333,21,0)&amp;""</f>
        <v>Yes</v>
      </c>
      <c r="H157" s="185"/>
      <c r="I157" s="45" t="str">
        <f>VLOOKUP($A157,Questions!$A$2:$X$333,23,0)&amp;""</f>
        <v>Standard Importance</v>
      </c>
      <c r="J157" s="185"/>
      <c r="K157" s="48" t="b">
        <v>0</v>
      </c>
      <c r="L157" s="1"/>
    </row>
    <row r="158" spans="1:12" s="29" customFormat="1" ht="15" x14ac:dyDescent="0.2">
      <c r="A158" s="19" t="str">
        <f>Product!$A$50</f>
        <v>DATA-12</v>
      </c>
      <c r="B158" s="20" t="str">
        <f>VLOOKUP($A158,Product!$A$13:$E$61,2,0)&amp;""</f>
        <v>Are you performing off-site backups (i.e., digitally moved off site)?</v>
      </c>
      <c r="C158" s="45" t="str">
        <f>VLOOKUP($A158,Product!$A$13:$E$61,3,0)&amp;""</f>
        <v/>
      </c>
      <c r="D158" s="34" t="str">
        <f>IF(LEFT(VLOOKUP($A158,Product!$A$13:$E$61,5,0),21)='Auto Responses'!$A$32,'Auto Responses'!$A$33,VLOOKUP($A158,Product!$A$13:$E$61,4,0))&amp;""</f>
        <v/>
      </c>
      <c r="E158" s="330" t="str">
        <f>VLOOKUP($A158,Product!$A$13:$E$61,5,0)&amp;""</f>
        <v/>
      </c>
      <c r="F158" s="195"/>
      <c r="G158" s="30" t="str">
        <f>VLOOKUP($A158,Questions!$A$2:$X$333,21,0)&amp;""</f>
        <v>Yes</v>
      </c>
      <c r="H158" s="185"/>
      <c r="I158" s="45" t="str">
        <f>VLOOKUP($A158,Questions!$A$2:$X$333,23,0)&amp;""</f>
        <v>Standard Importance</v>
      </c>
      <c r="J158" s="185"/>
      <c r="K158" s="48" t="b">
        <v>0</v>
      </c>
      <c r="L158" s="1"/>
    </row>
    <row r="159" spans="1:12" s="29" customFormat="1" ht="15" x14ac:dyDescent="0.2">
      <c r="A159" s="19" t="str">
        <f>Product!$A$51</f>
        <v>DATA-13</v>
      </c>
      <c r="B159" s="20" t="str">
        <f>VLOOKUP($A159,Product!$A$13:$E$61,2,0)&amp;""</f>
        <v>Are physical backups taken off-site (i.e., physically moved off site)?</v>
      </c>
      <c r="C159" s="45" t="str">
        <f>VLOOKUP($A159,Product!$A$13:$E$61,3,0)&amp;""</f>
        <v/>
      </c>
      <c r="D159" s="34" t="str">
        <f>IF(LEFT(VLOOKUP($A159,Product!$A$13:$E$61,5,0),21)='Auto Responses'!$A$32,'Auto Responses'!$A$33,VLOOKUP($A159,Product!$A$13:$E$61,4,0))&amp;""</f>
        <v/>
      </c>
      <c r="E159" s="330" t="str">
        <f>VLOOKUP($A159,Product!$A$13:$E$61,5,0)&amp;""</f>
        <v/>
      </c>
      <c r="F159" s="195"/>
      <c r="G159" s="30" t="str">
        <f>VLOOKUP($A159,Questions!$A$2:$X$333,21,0)&amp;""</f>
        <v>Yes</v>
      </c>
      <c r="H159" s="185"/>
      <c r="I159" s="45" t="str">
        <f>VLOOKUP($A159,Questions!$A$2:$X$333,23,0)&amp;""</f>
        <v>Standard Importance</v>
      </c>
      <c r="J159" s="185"/>
      <c r="K159" s="48" t="b">
        <v>0</v>
      </c>
      <c r="L159" s="1"/>
    </row>
    <row r="160" spans="1:12" s="29" customFormat="1" ht="15" x14ac:dyDescent="0.2">
      <c r="A160" s="19" t="str">
        <f>Product!$A$52</f>
        <v>DATA-14</v>
      </c>
      <c r="B160" s="20" t="str">
        <f>VLOOKUP($A160,Product!$A$13:$E$61,2,0)&amp;""</f>
        <v>Are data backups encrypted?</v>
      </c>
      <c r="C160" s="45" t="str">
        <f>VLOOKUP($A160,Product!$A$13:$E$61,3,0)&amp;""</f>
        <v/>
      </c>
      <c r="D160" s="34" t="str">
        <f>IF(LEFT(VLOOKUP($A160,Product!$A$13:$E$61,5,0),21)='Auto Responses'!$A$32,'Auto Responses'!$A$33,VLOOKUP($A160,Product!$A$13:$E$61,4,0))&amp;""</f>
        <v/>
      </c>
      <c r="E160" s="330" t="str">
        <f>VLOOKUP($A160,Product!$A$13:$E$61,5,0)&amp;""</f>
        <v/>
      </c>
      <c r="F160" s="195"/>
      <c r="G160" s="30" t="str">
        <f>VLOOKUP($A160,Questions!$A$2:$X$333,21,0)&amp;""</f>
        <v>Yes</v>
      </c>
      <c r="H160" s="185"/>
      <c r="I160" s="45" t="str">
        <f>VLOOKUP($A160,Questions!$A$2:$X$333,23,0)&amp;""</f>
        <v>Minor Importance</v>
      </c>
      <c r="J160" s="185"/>
      <c r="K160" s="48" t="b">
        <v>0</v>
      </c>
      <c r="L160" s="1"/>
    </row>
    <row r="161" spans="1:12" s="29" customFormat="1" ht="57" x14ac:dyDescent="0.2">
      <c r="A161" s="19" t="str">
        <f>Product!$A$53</f>
        <v>DATA-15</v>
      </c>
      <c r="B161" s="20" t="str">
        <f>VLOOKUP($A161,Product!$A$13:$E$61,2,0)&amp;""</f>
        <v>Do you have a media handling process that is documented and currently implemented that meets established business needs and regulatory requirements, including end-of-life, repurposing, and data-sanitization procedures?</v>
      </c>
      <c r="C161" s="45" t="str">
        <f>VLOOKUP($A161,Product!$A$13:$E$61,3,0)&amp;""</f>
        <v/>
      </c>
      <c r="D161" s="34" t="str">
        <f>IF(LEFT(VLOOKUP($A161,Product!$A$13:$E$61,5,0),21)='Auto Responses'!$A$32,'Auto Responses'!$A$33,VLOOKUP($A161,Product!$A$13:$E$61,4,0))&amp;""</f>
        <v/>
      </c>
      <c r="E161" s="330" t="str">
        <f>VLOOKUP($A161,Product!$A$13:$E$61,5,0)&amp;""</f>
        <v/>
      </c>
      <c r="F161" s="195"/>
      <c r="G161" s="30" t="str">
        <f>VLOOKUP($A161,Questions!$A$2:$X$333,21,0)&amp;""</f>
        <v>Yes</v>
      </c>
      <c r="H161" s="185"/>
      <c r="I161" s="45" t="str">
        <f>VLOOKUP($A161,Questions!$A$2:$X$333,23,0)&amp;""</f>
        <v>Standard Importance</v>
      </c>
      <c r="J161" s="185"/>
      <c r="K161" s="48" t="b">
        <v>0</v>
      </c>
      <c r="L161" s="1"/>
    </row>
    <row r="162" spans="1:12" s="29" customFormat="1" ht="28.5" x14ac:dyDescent="0.2">
      <c r="A162" s="19" t="str">
        <f>Product!$A$54</f>
        <v>DATA-16</v>
      </c>
      <c r="B162" s="20" t="str">
        <f>VLOOKUP($A162,Product!$A$13:$E$61,2,0)&amp;""</f>
        <v>Does the process described in DATA-15 adhere to DoD 5220.22-M and/or NIST SP 800-88 standards?</v>
      </c>
      <c r="C162" s="45" t="str">
        <f>VLOOKUP($A162,Product!$A$13:$E$61,3,0)&amp;""</f>
        <v/>
      </c>
      <c r="D162" s="34" t="str">
        <f>IF(LEFT(VLOOKUP($A162,Product!$A$13:$E$61,5,0),21)='Auto Responses'!$A$32,'Auto Responses'!$A$33,VLOOKUP($A162,Product!$A$13:$E$61,4,0))&amp;""</f>
        <v/>
      </c>
      <c r="E162" s="330" t="str">
        <f>VLOOKUP($A162,Product!$A$13:$E$61,5,0)&amp;""</f>
        <v/>
      </c>
      <c r="F162" s="195"/>
      <c r="G162" s="30" t="str">
        <f>VLOOKUP($A162,Questions!$A$2:$X$333,21,0)&amp;""</f>
        <v>Yes</v>
      </c>
      <c r="H162" s="185"/>
      <c r="I162" s="45" t="str">
        <f>VLOOKUP($A162,Questions!$A$2:$X$333,23,0)&amp;""</f>
        <v>Standard Importance</v>
      </c>
      <c r="J162" s="185"/>
      <c r="K162" s="48" t="b">
        <v>0</v>
      </c>
      <c r="L162" s="1"/>
    </row>
    <row r="163" spans="1:12" s="29" customFormat="1" ht="28.5" x14ac:dyDescent="0.2">
      <c r="A163" s="19" t="str">
        <f>Product!$A$55</f>
        <v>DATA-17</v>
      </c>
      <c r="B163" s="20" t="str">
        <f>VLOOKUP($A163,Product!$A$13:$E$61,2,0)&amp;""</f>
        <v>Does your staff (or third party) have access to institutional data (e.g., financial, PHI, or other sensitive information) through any means?</v>
      </c>
      <c r="C163" s="45" t="str">
        <f>VLOOKUP($A163,Product!$A$13:$E$61,3,0)&amp;""</f>
        <v/>
      </c>
      <c r="D163" s="34" t="str">
        <f>IF(LEFT(VLOOKUP($A163,Product!$A$13:$E$61,5,0),21)='Auto Responses'!$A$32,'Auto Responses'!$A$33,VLOOKUP($A163,Product!$A$13:$E$61,4,0))&amp;""</f>
        <v/>
      </c>
      <c r="E163" s="330" t="str">
        <f>VLOOKUP($A163,Product!$A$13:$E$61,5,0)&amp;""</f>
        <v/>
      </c>
      <c r="F163" s="195"/>
      <c r="G163" s="30" t="str">
        <f>VLOOKUP($A163,Questions!$A$2:$X$333,21,0)&amp;""</f>
        <v>No</v>
      </c>
      <c r="H163" s="185"/>
      <c r="I163" s="45" t="str">
        <f>VLOOKUP($A163,Questions!$A$2:$X$333,23,0)&amp;""</f>
        <v>Standard Importance</v>
      </c>
      <c r="J163" s="185"/>
      <c r="K163" s="48" t="b">
        <v>0</v>
      </c>
      <c r="L163" s="1"/>
    </row>
    <row r="164" spans="1:12" s="29" customFormat="1" ht="42.75" x14ac:dyDescent="0.2">
      <c r="A164" s="19" t="str">
        <f>Product!$A$56</f>
        <v>DATA-18</v>
      </c>
      <c r="B164" s="20" t="str">
        <f>VLOOKUP($A164,Product!$A$13:$E$61,2,0)&amp;""</f>
        <v>Do you have a documented and currently implemented strategy for securing employee workstations when they work remotely (i.e., not in a trusted computing environment)?</v>
      </c>
      <c r="C164" s="45" t="str">
        <f>VLOOKUP($A164,Product!$A$13:$E$61,3,0)&amp;""</f>
        <v/>
      </c>
      <c r="D164" s="34" t="str">
        <f>IF(LEFT(VLOOKUP($A164,Product!$A$13:$E$61,5,0),21)='Auto Responses'!$A$32,'Auto Responses'!$A$33,VLOOKUP($A164,Product!$A$13:$E$61,4,0))&amp;""</f>
        <v/>
      </c>
      <c r="E164" s="330" t="str">
        <f>VLOOKUP($A164,Product!$A$13:$E$61,5,0)&amp;""</f>
        <v/>
      </c>
      <c r="F164" s="195"/>
      <c r="G164" s="30" t="str">
        <f>VLOOKUP($A164,Questions!$A$2:$X$333,21,0)&amp;""</f>
        <v>Yes</v>
      </c>
      <c r="H164" s="185"/>
      <c r="I164" s="45" t="str">
        <f>VLOOKUP($A164,Questions!$A$2:$X$333,23,0)&amp;""</f>
        <v>Standard Importance</v>
      </c>
      <c r="J164" s="185"/>
      <c r="K164" s="48" t="b">
        <v>0</v>
      </c>
      <c r="L164" s="1"/>
    </row>
    <row r="165" spans="1:12" s="29" customFormat="1" ht="57" x14ac:dyDescent="0.2">
      <c r="A165" s="19" t="str">
        <f>Product!$A$57</f>
        <v>DATA-19</v>
      </c>
      <c r="B165" s="20" t="str">
        <f>VLOOKUP($A165,Product!$A$13:$E$61,2,0)&amp;""</f>
        <v>Does the environment provide for dedicated single-tenant capabilities? If not, describe how your solution or environment separates data from different customers (e.g., logically, physically, single tenancy, multi-tenancy).</v>
      </c>
      <c r="C165" s="45" t="str">
        <f>VLOOKUP($A165,Product!$A$13:$E$61,3,0)&amp;""</f>
        <v/>
      </c>
      <c r="D165" s="34" t="str">
        <f>IF(LEFT(VLOOKUP($A165,Product!$A$13:$E$61,5,0),21)='Auto Responses'!$A$32,'Auto Responses'!$A$33,VLOOKUP($A165,Product!$A$13:$E$61,4,0))&amp;""</f>
        <v/>
      </c>
      <c r="E165" s="330" t="str">
        <f>VLOOKUP($A165,Product!$A$13:$E$61,5,0)&amp;""</f>
        <v/>
      </c>
      <c r="F165" s="195"/>
      <c r="G165" s="30" t="str">
        <f>VLOOKUP($A165,Questions!$A$2:$X$333,21,0)&amp;""</f>
        <v>Yes</v>
      </c>
      <c r="H165" s="185"/>
      <c r="I165" s="45" t="str">
        <f>VLOOKUP($A165,Questions!$A$2:$X$333,23,0)&amp;""</f>
        <v>Minor Importance</v>
      </c>
      <c r="J165" s="185"/>
      <c r="K165" s="48" t="b">
        <v>0</v>
      </c>
      <c r="L165" s="1"/>
    </row>
    <row r="166" spans="1:12" s="29" customFormat="1" ht="28.5" x14ac:dyDescent="0.2">
      <c r="A166" s="19" t="str">
        <f>Product!$A$58</f>
        <v>DATA-20</v>
      </c>
      <c r="B166" s="20" t="str">
        <f>VLOOKUP($A166,Product!$A$13:$E$61,2,0)&amp;""</f>
        <v>Are ownership rights to all data, inputs, outputs, and metadata retained by the institution?</v>
      </c>
      <c r="C166" s="45" t="str">
        <f>VLOOKUP($A166,Product!$A$13:$E$61,3,0)&amp;""</f>
        <v/>
      </c>
      <c r="D166" s="34" t="str">
        <f>IF(LEFT(VLOOKUP($A166,Product!$A$13:$E$61,5,0),21)='Auto Responses'!$A$32,'Auto Responses'!$A$33,VLOOKUP($A166,Product!$A$13:$E$61,4,0))&amp;""</f>
        <v/>
      </c>
      <c r="E166" s="330" t="str">
        <f>VLOOKUP($A166,Product!$A$13:$E$61,5,0)&amp;""</f>
        <v/>
      </c>
      <c r="F166" s="195"/>
      <c r="G166" s="30" t="str">
        <f>VLOOKUP($A166,Questions!$A$2:$X$333,21,0)&amp;""</f>
        <v>Yes</v>
      </c>
      <c r="H166" s="185"/>
      <c r="I166" s="45" t="str">
        <f>VLOOKUP($A166,Questions!$A$2:$X$333,23,0)&amp;""</f>
        <v>Minor Importance</v>
      </c>
      <c r="J166" s="185"/>
      <c r="K166" s="48" t="b">
        <v>0</v>
      </c>
      <c r="L166" s="1"/>
    </row>
    <row r="167" spans="1:12" s="29" customFormat="1" ht="42.75" x14ac:dyDescent="0.2">
      <c r="A167" s="19" t="str">
        <f>Product!$A$59</f>
        <v>DATA-21</v>
      </c>
      <c r="B167" s="20" t="str">
        <f>VLOOKUP($A167,Product!$A$13:$E$61,2,0)&amp;""</f>
        <v>In the event of imminent bankruptcy, closing of business, or retirement of service, will you provide 90 days for customers to get their data out of the system and migrate applications?</v>
      </c>
      <c r="C167" s="45" t="str">
        <f>VLOOKUP($A167,Product!$A$13:$E$61,3,0)&amp;""</f>
        <v/>
      </c>
      <c r="D167" s="34" t="str">
        <f>IF(LEFT(VLOOKUP($A167,Product!$A$13:$E$61,5,0),21)='Auto Responses'!$A$32,'Auto Responses'!$A$33,VLOOKUP($A167,Product!$A$13:$E$61,4,0))&amp;""</f>
        <v/>
      </c>
      <c r="E167" s="330" t="str">
        <f>VLOOKUP($A167,Product!$A$13:$E$61,5,0)&amp;""</f>
        <v/>
      </c>
      <c r="F167" s="195"/>
      <c r="G167" s="30" t="str">
        <f>VLOOKUP($A167,Questions!$A$2:$X$333,21,0)&amp;""</f>
        <v>Yes</v>
      </c>
      <c r="H167" s="185"/>
      <c r="I167" s="45" t="str">
        <f>VLOOKUP($A167,Questions!$A$2:$X$333,23,0)&amp;""</f>
        <v>Minor Importance</v>
      </c>
      <c r="J167" s="185"/>
      <c r="K167" s="48" t="b">
        <v>0</v>
      </c>
      <c r="L167" s="1"/>
    </row>
    <row r="168" spans="1:12" s="29" customFormat="1" ht="60" x14ac:dyDescent="0.2">
      <c r="A168" s="19" t="str">
        <f>Product!$A$60</f>
        <v>DATA-22</v>
      </c>
      <c r="B168" s="20" t="str">
        <f>VLOOKUP($A168,Product!$A$13:$E$61,2,0)&amp;""</f>
        <v>Are involatile backup copies made according to predefined schedules and securely stored and protected?</v>
      </c>
      <c r="C168" s="45" t="str">
        <f>VLOOKUP($A168,Product!$A$13:$E$61,3,0)&amp;""</f>
        <v/>
      </c>
      <c r="D168" s="34" t="str">
        <f>IF(LEFT(VLOOKUP($A168,Product!$A$13:$E$61,5,0),21)='Auto Responses'!$A$32,'Auto Responses'!$A$33,VLOOKUP($A168,Product!$A$13:$E$61,4,0))&amp;""</f>
        <v/>
      </c>
      <c r="E168" s="330" t="str">
        <f>VLOOKUP($A168,Product!$A$13:$E$61,5,0)&amp;""</f>
        <v>Ensure that response addresses involatile storage and lists retention periods.</v>
      </c>
      <c r="F168" s="195"/>
      <c r="G168" s="30" t="str">
        <f>VLOOKUP($A168,Questions!$A$2:$X$333,21,0)&amp;""</f>
        <v>Yes</v>
      </c>
      <c r="H168" s="185"/>
      <c r="I168" s="45" t="str">
        <f>VLOOKUP($A168,Questions!$A$2:$X$333,23,0)&amp;""</f>
        <v>Minor Importance</v>
      </c>
      <c r="J168" s="185"/>
      <c r="K168" s="48" t="b">
        <v>0</v>
      </c>
      <c r="L168" s="1"/>
    </row>
    <row r="169" spans="1:12" s="29" customFormat="1" ht="57" x14ac:dyDescent="0.2">
      <c r="A169" s="19" t="str">
        <f>Product!$A$61</f>
        <v>DATA-23</v>
      </c>
      <c r="B169" s="20" t="str">
        <f>VLOOKUP($A169,Product!$A$13:$E$61,2,0)&amp;""</f>
        <v>Do you have a cryptographic key management process (generation, exchange, storage, safeguards, use, vetting, and replacement) that is documented and currently implemented, for all system components (e.g., database, system, web, etc.)?</v>
      </c>
      <c r="C169" s="45" t="str">
        <f>VLOOKUP($A169,Product!$A$13:$E$61,3,0)&amp;""</f>
        <v/>
      </c>
      <c r="D169" s="34" t="str">
        <f>IF(LEFT(VLOOKUP($A169,Product!$A$13:$E$61,5,0),21)='Auto Responses'!$A$32,'Auto Responses'!$A$33,VLOOKUP($A169,Product!$A$13:$E$61,4,0))&amp;""</f>
        <v/>
      </c>
      <c r="E169" s="330" t="str">
        <f>VLOOKUP($A169,Product!$A$13:$E$61,5,0)&amp;""</f>
        <v>Summarize your cryptographic key management process.</v>
      </c>
      <c r="F169" s="195"/>
      <c r="G169" s="30" t="str">
        <f>VLOOKUP($A169,Questions!$A$2:$X$333,21,0)&amp;""</f>
        <v>Yes</v>
      </c>
      <c r="H169" s="185"/>
      <c r="I169" s="45" t="str">
        <f>VLOOKUP($A169,Questions!$A$2:$X$333,23,0)&amp;""</f>
        <v>Minor Importance</v>
      </c>
      <c r="J169" s="185"/>
      <c r="K169" s="48" t="b">
        <v>0</v>
      </c>
      <c r="L169" s="1"/>
    </row>
    <row r="170" spans="1:12" s="1" customFormat="1" ht="18" x14ac:dyDescent="0.2">
      <c r="A170" s="63" t="str">
        <f>VLOOKUP(LEFT($A171,4),'Auto Responses'!$N$4:$O$38,2,0)&amp;""</f>
        <v xml:space="preserve"> Application/Service Security</v>
      </c>
      <c r="B170" s="22"/>
      <c r="C170" s="31"/>
      <c r="D170" s="31"/>
      <c r="E170" s="331"/>
      <c r="F170" s="131" t="s">
        <v>1030</v>
      </c>
      <c r="G170" s="335" t="s">
        <v>869</v>
      </c>
      <c r="H170" s="335" t="s">
        <v>871</v>
      </c>
      <c r="I170" s="335" t="s">
        <v>19</v>
      </c>
      <c r="J170" s="335" t="s">
        <v>856</v>
      </c>
      <c r="K170" s="335" t="s">
        <v>867</v>
      </c>
    </row>
    <row r="171" spans="1:12" s="29" customFormat="1" ht="180" x14ac:dyDescent="0.2">
      <c r="A171" s="19" t="str">
        <f>Infrastructure!$A$20</f>
        <v>APPL-01</v>
      </c>
      <c r="B171" s="20" t="str">
        <f>VLOOKUP($A171,Infrastructure!$A$13:$E$74,2,0)&amp;""</f>
        <v>Are access controls for institutional accounts based on structured rules, such as role-based access control (RBAC), attribute-based access control (ABAC), or policy-based access control (PBAC)?*</v>
      </c>
      <c r="C171" s="45" t="str">
        <f>VLOOKUP($A171,Infrastructure!$A$13:$E$74,3,0)&amp;""</f>
        <v/>
      </c>
      <c r="D171" s="34" t="str">
        <f>IF(LEFT(VLOOKUP($A171,Infrastructure!$A$13:$E$74,5,0),21)='Auto Responses'!$A$32,'Auto Responses'!$A$33,VLOOKUP($A171,Infrastructure!$A$13:$E$74,4,0))&amp;""</f>
        <v/>
      </c>
      <c r="E171" s="330" t="str">
        <f>VLOOKUP($A171,Infrastructure!$A$13:$E$74,5,0)&amp;""</f>
        <v>This includes end users, administrators, service accounts, etc. PBAC would include various dynamic controls such as conditional access, risk-based access, location-based access, or system activity–based access.</v>
      </c>
      <c r="F171" s="195"/>
      <c r="G171" s="30" t="str">
        <f>VLOOKUP($A171,Questions!$A$2:$X$333,21,0)&amp;""</f>
        <v>Yes</v>
      </c>
      <c r="H171" s="185"/>
      <c r="I171" s="45" t="str">
        <f>VLOOKUP($A171,Questions!$A$2:$X$333,23,0)&amp;""</f>
        <v>Critical Importance</v>
      </c>
      <c r="J171" s="185"/>
      <c r="K171" s="48" t="b">
        <v>0</v>
      </c>
      <c r="L171" s="1"/>
    </row>
    <row r="172" spans="1:12" s="29" customFormat="1" ht="15" x14ac:dyDescent="0.2">
      <c r="A172" s="19" t="str">
        <f>Infrastructure!$A$21</f>
        <v>APPL-02</v>
      </c>
      <c r="B172" s="20" t="str">
        <f>VLOOKUP($A172,Infrastructure!$A$13:$E$74,2,0)&amp;""</f>
        <v>Are you using a web application firewall (WAF)?*</v>
      </c>
      <c r="C172" s="45" t="str">
        <f>VLOOKUP($A172,Infrastructure!$A$13:$E$74,3,0)&amp;""</f>
        <v/>
      </c>
      <c r="D172" s="34" t="str">
        <f>IF(LEFT(VLOOKUP($A172,Infrastructure!$A$13:$E$74,5,0),21)='Auto Responses'!$A$32,'Auto Responses'!$A$33,VLOOKUP($A172,Infrastructure!$A$13:$E$74,4,0))&amp;""</f>
        <v/>
      </c>
      <c r="E172" s="330" t="str">
        <f>VLOOKUP($A172,Infrastructure!$A$13:$E$74,5,0)&amp;""</f>
        <v/>
      </c>
      <c r="F172" s="195"/>
      <c r="G172" s="30" t="str">
        <f>VLOOKUP($A172,Questions!$A$2:$X$333,21,0)&amp;""</f>
        <v>Yes</v>
      </c>
      <c r="H172" s="185"/>
      <c r="I172" s="45" t="str">
        <f>VLOOKUP($A172,Questions!$A$2:$X$333,23,0)&amp;""</f>
        <v>Critical Importance</v>
      </c>
      <c r="J172" s="185"/>
      <c r="K172" s="48" t="b">
        <v>0</v>
      </c>
      <c r="L172" s="1"/>
    </row>
    <row r="173" spans="1:12" s="29" customFormat="1" ht="90" x14ac:dyDescent="0.2">
      <c r="A173" s="19" t="str">
        <f>Infrastructure!$A$22</f>
        <v>APPL-03</v>
      </c>
      <c r="B173" s="20" t="str">
        <f>VLOOKUP($A173,Infrastructure!$A$13:$E$74,2,0)&amp;""</f>
        <v>Are only currently supported operating system(s), software, and libraries leveraged by the system(s)/application(s) that will have access to institution's data?*</v>
      </c>
      <c r="C173" s="45" t="str">
        <f>VLOOKUP($A173,Infrastructure!$A$13:$E$74,3,0)&amp;""</f>
        <v/>
      </c>
      <c r="D173" s="34" t="str">
        <f>IF(LEFT(VLOOKUP($A173,Infrastructure!$A$13:$E$74,5,0),21)='Auto Responses'!$A$32,'Auto Responses'!$A$33,VLOOKUP($A173,Infrastructure!$A$13:$E$74,4,0))&amp;""</f>
        <v/>
      </c>
      <c r="E173" s="330" t="str">
        <f>VLOOKUP($A173,Infrastructure!$A$13:$E$74,5,0)&amp;""</f>
        <v>If the web application only works with a subset of modern supported browsers, please indicate that here.</v>
      </c>
      <c r="F173" s="195"/>
      <c r="G173" s="30" t="str">
        <f>VLOOKUP($A173,Questions!$A$2:$X$333,21,0)&amp;""</f>
        <v>Yes</v>
      </c>
      <c r="H173" s="185"/>
      <c r="I173" s="45" t="str">
        <f>VLOOKUP($A173,Questions!$A$2:$X$333,23,0)&amp;""</f>
        <v>Critical Importance</v>
      </c>
      <c r="J173" s="185"/>
      <c r="K173" s="48" t="b">
        <v>0</v>
      </c>
      <c r="L173" s="1"/>
    </row>
    <row r="174" spans="1:12" s="29" customFormat="1" ht="15" x14ac:dyDescent="0.2">
      <c r="A174" s="19" t="str">
        <f>Infrastructure!$A$23</f>
        <v>APPL-04</v>
      </c>
      <c r="B174" s="20" t="str">
        <f>VLOOKUP($A174,Infrastructure!$A$13:$E$74,2,0)&amp;""</f>
        <v>Does your application require access to location or GPS data?*</v>
      </c>
      <c r="C174" s="45" t="str">
        <f>VLOOKUP($A174,Infrastructure!$A$13:$E$74,3,0)&amp;""</f>
        <v/>
      </c>
      <c r="D174" s="34" t="str">
        <f>IF(LEFT(VLOOKUP($A174,Infrastructure!$A$13:$E$74,5,0),21)='Auto Responses'!$A$32,'Auto Responses'!$A$33,VLOOKUP($A174,Infrastructure!$A$13:$E$74,4,0))&amp;""</f>
        <v/>
      </c>
      <c r="E174" s="330" t="str">
        <f>VLOOKUP($A174,Infrastructure!$A$13:$E$74,5,0)&amp;""</f>
        <v/>
      </c>
      <c r="F174" s="195"/>
      <c r="G174" s="30" t="str">
        <f>VLOOKUP($A174,Questions!$A$2:$X$333,21,0)&amp;""</f>
        <v>No</v>
      </c>
      <c r="H174" s="185"/>
      <c r="I174" s="45" t="str">
        <f>VLOOKUP($A174,Questions!$A$2:$X$333,23,0)&amp;""</f>
        <v>Critical Importance</v>
      </c>
      <c r="J174" s="185"/>
      <c r="K174" s="48" t="b">
        <v>0</v>
      </c>
      <c r="L174" s="1"/>
    </row>
    <row r="175" spans="1:12" s="29" customFormat="1" ht="28.5" x14ac:dyDescent="0.2">
      <c r="A175" s="19" t="str">
        <f>Infrastructure!$A$24</f>
        <v>APPL-05</v>
      </c>
      <c r="B175" s="20" t="str">
        <f>VLOOKUP($A175,Infrastructure!$A$13:$E$74,2,0)&amp;""</f>
        <v>Does your application provide separation of duties between security administration, system administration, and standard user functions?*</v>
      </c>
      <c r="C175" s="45" t="str">
        <f>VLOOKUP($A175,Infrastructure!$A$13:$E$74,3,0)&amp;""</f>
        <v/>
      </c>
      <c r="D175" s="34" t="str">
        <f>IF(LEFT(VLOOKUP($A175,Infrastructure!$A$13:$E$74,5,0),21)='Auto Responses'!$A$32,'Auto Responses'!$A$33,VLOOKUP($A175,Infrastructure!$A$13:$E$74,4,0))&amp;""</f>
        <v/>
      </c>
      <c r="E175" s="330" t="str">
        <f>VLOOKUP($A175,Infrastructure!$A$13:$E$74,5,0)&amp;""</f>
        <v/>
      </c>
      <c r="F175" s="195"/>
      <c r="G175" s="30" t="str">
        <f>VLOOKUP($A175,Questions!$A$2:$X$333,21,0)&amp;""</f>
        <v>Yes</v>
      </c>
      <c r="H175" s="185"/>
      <c r="I175" s="45" t="str">
        <f>VLOOKUP($A175,Questions!$A$2:$X$333,23,0)&amp;""</f>
        <v>Critical Importance</v>
      </c>
      <c r="J175" s="185"/>
      <c r="K175" s="48" t="b">
        <v>0</v>
      </c>
      <c r="L175" s="1"/>
    </row>
    <row r="176" spans="1:12" s="29" customFormat="1" ht="28.5" x14ac:dyDescent="0.2">
      <c r="A176" s="19" t="str">
        <f>Infrastructure!$A$25</f>
        <v>APPL-06</v>
      </c>
      <c r="B176" s="20" t="str">
        <f>VLOOKUP($A176,Infrastructure!$A$13:$E$74,2,0)&amp;""</f>
        <v>Do you subject your code to static code analysis and/or static application security testing prior to release?*</v>
      </c>
      <c r="C176" s="45" t="str">
        <f>VLOOKUP($A176,Infrastructure!$A$13:$E$74,3,0)&amp;""</f>
        <v/>
      </c>
      <c r="D176" s="34" t="str">
        <f>IF(LEFT(VLOOKUP($A176,Infrastructure!$A$13:$E$74,5,0),21)='Auto Responses'!$A$32,'Auto Responses'!$A$33,VLOOKUP($A176,Infrastructure!$A$13:$E$74,4,0))&amp;""</f>
        <v/>
      </c>
      <c r="E176" s="330" t="str">
        <f>VLOOKUP($A176,Infrastructure!$A$13:$E$74,5,0)&amp;""</f>
        <v/>
      </c>
      <c r="F176" s="195"/>
      <c r="G176" s="30" t="str">
        <f>VLOOKUP($A176,Questions!$A$2:$X$333,21,0)&amp;""</f>
        <v>Yes</v>
      </c>
      <c r="H176" s="185"/>
      <c r="I176" s="45" t="str">
        <f>VLOOKUP($A176,Questions!$A$2:$X$333,23,0)&amp;""</f>
        <v>Critical Importance</v>
      </c>
      <c r="J176" s="185"/>
      <c r="K176" s="48" t="b">
        <v>0</v>
      </c>
      <c r="L176" s="1"/>
    </row>
    <row r="177" spans="1:12" s="29" customFormat="1" ht="28.5" x14ac:dyDescent="0.2">
      <c r="A177" s="19" t="str">
        <f>Infrastructure!$A$26</f>
        <v>APPL-07</v>
      </c>
      <c r="B177" s="20" t="str">
        <f>VLOOKUP($A177,Infrastructure!$A$13:$E$74,2,0)&amp;""</f>
        <v>Do you have software testing processes (dynamic or static) that are established and followed?*</v>
      </c>
      <c r="C177" s="45" t="str">
        <f>VLOOKUP($A177,Infrastructure!$A$13:$E$74,3,0)&amp;""</f>
        <v/>
      </c>
      <c r="D177" s="34" t="str">
        <f>IF(LEFT(VLOOKUP($A177,Infrastructure!$A$13:$E$74,5,0),21)='Auto Responses'!$A$32,'Auto Responses'!$A$33,VLOOKUP($A177,Infrastructure!$A$13:$E$74,4,0))&amp;""</f>
        <v/>
      </c>
      <c r="E177" s="330" t="str">
        <f>VLOOKUP($A177,Infrastructure!$A$13:$E$74,5,0)&amp;""</f>
        <v/>
      </c>
      <c r="F177" s="195"/>
      <c r="G177" s="30" t="str">
        <f>VLOOKUP($A177,Questions!$A$2:$X$333,21,0)&amp;""</f>
        <v>Yes</v>
      </c>
      <c r="H177" s="185"/>
      <c r="I177" s="45" t="str">
        <f>VLOOKUP($A177,Questions!$A$2:$X$333,23,0)&amp;""</f>
        <v>Critical Importance</v>
      </c>
      <c r="J177" s="185"/>
      <c r="K177" s="48" t="b">
        <v>0</v>
      </c>
      <c r="L177" s="1"/>
    </row>
    <row r="178" spans="1:12" s="29" customFormat="1" ht="195" x14ac:dyDescent="0.2">
      <c r="A178" s="19" t="str">
        <f>Infrastructure!$A$27</f>
        <v>APPL-08</v>
      </c>
      <c r="B178" s="20" t="str">
        <f>VLOOKUP($A178,Infrastructure!$A$13:$E$74,2,0)&amp;""</f>
        <v>Are access controls for staff within your organization based on structured rules, such as RBAC, ABAC, or PBAC?</v>
      </c>
      <c r="C178" s="45" t="str">
        <f>VLOOKUP($A178,Infrastructure!$A$13:$E$74,3,0)&amp;""</f>
        <v/>
      </c>
      <c r="D178" s="34" t="str">
        <f>IF(LEFT(VLOOKUP($A178,Infrastructure!$A$13:$E$74,5,0),21)='Auto Responses'!$A$32,'Auto Responses'!$A$33,VLOOKUP($A178,Infrastructure!$A$13:$E$74,4,0))&amp;""</f>
        <v/>
      </c>
      <c r="E178" s="330"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195"/>
      <c r="G178" s="30" t="str">
        <f>VLOOKUP($A178,Questions!$A$2:$X$333,21,0)&amp;""</f>
        <v>Yes</v>
      </c>
      <c r="H178" s="185"/>
      <c r="I178" s="45" t="str">
        <f>VLOOKUP($A178,Questions!$A$2:$X$333,23,0)&amp;""</f>
        <v>Standard Importance</v>
      </c>
      <c r="J178" s="185"/>
      <c r="K178" s="48" t="b">
        <v>0</v>
      </c>
      <c r="L178" s="1"/>
    </row>
    <row r="179" spans="1:12" s="29" customFormat="1" ht="15" x14ac:dyDescent="0.2">
      <c r="A179" s="19" t="str">
        <f>Infrastructure!$A$28</f>
        <v>APPL-09</v>
      </c>
      <c r="B179" s="20" t="str">
        <f>VLOOKUP($A179,Infrastructure!$A$13:$E$74,2,0)&amp;""</f>
        <v>Does the system provide data input validation and error messages?</v>
      </c>
      <c r="C179" s="45" t="str">
        <f>VLOOKUP($A179,Infrastructure!$A$13:$E$74,3,0)&amp;""</f>
        <v/>
      </c>
      <c r="D179" s="34" t="str">
        <f>IF(LEFT(VLOOKUP($A179,Infrastructure!$A$13:$E$74,5,0),21)='Auto Responses'!$A$32,'Auto Responses'!$A$33,VLOOKUP($A179,Infrastructure!$A$13:$E$74,4,0))&amp;""</f>
        <v/>
      </c>
      <c r="E179" s="330" t="str">
        <f>VLOOKUP($A179,Infrastructure!$A$13:$E$74,5,0)&amp;""</f>
        <v/>
      </c>
      <c r="F179" s="195"/>
      <c r="G179" s="30" t="str">
        <f>VLOOKUP($A179,Questions!$A$2:$X$333,21,0)&amp;""</f>
        <v>Yes</v>
      </c>
      <c r="H179" s="185"/>
      <c r="I179" s="45" t="str">
        <f>VLOOKUP($A179,Questions!$A$2:$X$333,23,0)&amp;""</f>
        <v>Standard Importance</v>
      </c>
      <c r="J179" s="185"/>
      <c r="K179" s="48" t="b">
        <v>0</v>
      </c>
      <c r="L179" s="1"/>
    </row>
    <row r="180" spans="1:12" s="29" customFormat="1" ht="45" x14ac:dyDescent="0.2">
      <c r="A180" s="19" t="str">
        <f>Infrastructure!$A$29</f>
        <v>APPL-10</v>
      </c>
      <c r="B180" s="20" t="str">
        <f>VLOOKUP($A180,Infrastructure!$A$13:$E$74,2,0)&amp;""</f>
        <v>Do you have a process and implemented procedures for managing your software supply chain (e.g., libraries, repositories, frameworks, etc.)?</v>
      </c>
      <c r="C180" s="45" t="str">
        <f>VLOOKUP($A180,Infrastructure!$A$13:$E$74,3,0)&amp;""</f>
        <v/>
      </c>
      <c r="D180" s="34" t="str">
        <f>IF(LEFT(VLOOKUP($A180,Infrastructure!$A$13:$E$74,5,0),21)='Auto Responses'!$A$32,'Auto Responses'!$A$33,VLOOKUP($A180,Infrastructure!$A$13:$E$74,4,0))&amp;""</f>
        <v/>
      </c>
      <c r="E180" s="330" t="str">
        <f>VLOOKUP($A180,Infrastructure!$A$13:$E$74,5,0)&amp;""</f>
        <v>Include any in-house developed or contract development.</v>
      </c>
      <c r="F180" s="195"/>
      <c r="G180" s="30" t="str">
        <f>VLOOKUP($A180,Questions!$A$2:$X$333,21,0)&amp;""</f>
        <v>Yes</v>
      </c>
      <c r="H180" s="185"/>
      <c r="I180" s="45" t="str">
        <f>VLOOKUP($A180,Questions!$A$2:$X$333,23,0)&amp;""</f>
        <v>Standard Importance</v>
      </c>
      <c r="J180" s="185"/>
      <c r="K180" s="48" t="b">
        <v>0</v>
      </c>
      <c r="L180" s="1"/>
    </row>
    <row r="181" spans="1:12" s="29" customFormat="1" ht="15" x14ac:dyDescent="0.2">
      <c r="A181" s="19" t="str">
        <f>Infrastructure!$A$30</f>
        <v>APPL-11</v>
      </c>
      <c r="B181" s="20" t="str">
        <f>VLOOKUP($A181,Infrastructure!$A$13:$E$74,2,0)&amp;""</f>
        <v>Have your developers been trained in secure coding techniques?</v>
      </c>
      <c r="C181" s="45" t="str">
        <f>VLOOKUP($A181,Infrastructure!$A$13:$E$74,3,0)&amp;""</f>
        <v/>
      </c>
      <c r="D181" s="34" t="str">
        <f>IF(LEFT(VLOOKUP($A181,Infrastructure!$A$13:$E$74,5,0),21)='Auto Responses'!$A$32,'Auto Responses'!$A$33,VLOOKUP($A181,Infrastructure!$A$13:$E$74,4,0))&amp;""</f>
        <v/>
      </c>
      <c r="E181" s="330" t="str">
        <f>VLOOKUP($A181,Infrastructure!$A$13:$E$74,5,0)&amp;""</f>
        <v/>
      </c>
      <c r="F181" s="195"/>
      <c r="G181" s="30" t="str">
        <f>VLOOKUP($A181,Questions!$A$2:$X$333,21,0)&amp;""</f>
        <v>Yes</v>
      </c>
      <c r="H181" s="185"/>
      <c r="I181" s="45" t="str">
        <f>VLOOKUP($A181,Questions!$A$2:$X$333,23,0)&amp;""</f>
        <v>Standard Importance</v>
      </c>
      <c r="J181" s="185"/>
      <c r="K181" s="48" t="b">
        <v>0</v>
      </c>
      <c r="L181" s="1"/>
    </row>
    <row r="182" spans="1:12" s="29" customFormat="1" ht="15" x14ac:dyDescent="0.2">
      <c r="A182" s="19" t="str">
        <f>Infrastructure!$A$31</f>
        <v>APPL-12</v>
      </c>
      <c r="B182" s="20" t="str">
        <f>VLOOKUP($A182,Infrastructure!$A$13:$E$74,2,0)&amp;""</f>
        <v>Was your application developed using secure coding techniques?</v>
      </c>
      <c r="C182" s="45" t="str">
        <f>VLOOKUP($A182,Infrastructure!$A$13:$E$74,3,0)&amp;""</f>
        <v/>
      </c>
      <c r="D182" s="34" t="str">
        <f>IF(LEFT(VLOOKUP($A182,Infrastructure!$A$13:$E$74,5,0),21)='Auto Responses'!$A$32,'Auto Responses'!$A$33,VLOOKUP($A182,Infrastructure!$A$13:$E$74,4,0))&amp;""</f>
        <v/>
      </c>
      <c r="E182" s="330" t="str">
        <f>VLOOKUP($A182,Infrastructure!$A$13:$E$74,5,0)&amp;""</f>
        <v/>
      </c>
      <c r="F182" s="195"/>
      <c r="G182" s="30" t="str">
        <f>VLOOKUP($A182,Questions!$A$2:$X$333,21,0)&amp;""</f>
        <v>Yes</v>
      </c>
      <c r="H182" s="185"/>
      <c r="I182" s="45" t="str">
        <f>VLOOKUP($A182,Questions!$A$2:$X$333,23,0)&amp;""</f>
        <v>Standard Importance</v>
      </c>
      <c r="J182" s="185"/>
      <c r="K182" s="48" t="b">
        <v>0</v>
      </c>
      <c r="L182" s="1"/>
    </row>
    <row r="183" spans="1:12" s="29" customFormat="1" ht="45" x14ac:dyDescent="0.2">
      <c r="A183" s="19" t="str">
        <f>Infrastructure!$A$32</f>
        <v>APPL-13</v>
      </c>
      <c r="B183" s="20" t="str">
        <f>VLOOKUP($A183,Infrastructure!$A$13:$E$74,2,0)&amp;""</f>
        <v>If mobile, is the application available from a trusted source (e.g., App Store, Google Play Store)?</v>
      </c>
      <c r="C183" s="45" t="str">
        <f>VLOOKUP($A183,Infrastructure!$A$13:$E$74,3,0)&amp;""</f>
        <v/>
      </c>
      <c r="D183" s="34" t="str">
        <f>IF(LEFT(VLOOKUP($A183,Infrastructure!$A$13:$E$74,5,0),21)='Auto Responses'!$A$32,'Auto Responses'!$A$33,VLOOKUP($A183,Infrastructure!$A$13:$E$74,4,0))&amp;""</f>
        <v/>
      </c>
      <c r="E183" s="330" t="str">
        <f>VLOOKUP($A183,Infrastructure!$A$13:$E$74,5,0)&amp;""</f>
        <v>Select N/A if there is no mobile version of your app.</v>
      </c>
      <c r="F183" s="195"/>
      <c r="G183" s="30" t="str">
        <f>VLOOKUP($A183,Questions!$A$2:$X$333,21,0)&amp;""</f>
        <v>Yes</v>
      </c>
      <c r="H183" s="185"/>
      <c r="I183" s="45" t="str">
        <f>VLOOKUP($A183,Questions!$A$2:$X$333,23,0)&amp;""</f>
        <v>Minor Importance</v>
      </c>
      <c r="J183" s="185"/>
      <c r="K183" s="48" t="b">
        <v>0</v>
      </c>
      <c r="L183" s="1"/>
    </row>
    <row r="184" spans="1:12" s="29" customFormat="1" ht="42.75" x14ac:dyDescent="0.2">
      <c r="A184" s="19" t="str">
        <f>Infrastructure!$A$33</f>
        <v>APPL-14</v>
      </c>
      <c r="B184" s="20" t="str">
        <f>VLOOKUP($A184,Infrastructure!$A$13:$E$74,2,0)&amp;""</f>
        <v>Do you have a fully implemented policy or procedure that details how your employees obtain administrator access to institutional instance of the application?</v>
      </c>
      <c r="C184" s="45" t="str">
        <f>VLOOKUP($A184,Infrastructure!$A$13:$E$74,3,0)&amp;""</f>
        <v/>
      </c>
      <c r="D184" s="34" t="str">
        <f>IF(LEFT(VLOOKUP($A184,Infrastructure!$A$13:$E$74,5,0),21)='Auto Responses'!$A$32,'Auto Responses'!$A$33,VLOOKUP($A184,Infrastructure!$A$13:$E$74,4,0))&amp;""</f>
        <v/>
      </c>
      <c r="E184" s="330" t="str">
        <f>VLOOKUP($A184,Infrastructure!$A$13:$E$74,5,0)&amp;""</f>
        <v/>
      </c>
      <c r="F184" s="195"/>
      <c r="G184" s="30" t="str">
        <f>VLOOKUP($A184,Questions!$A$2:$X$333,21,0)&amp;""</f>
        <v>Yes</v>
      </c>
      <c r="H184" s="185"/>
      <c r="I184" s="45" t="str">
        <f>VLOOKUP($A184,Questions!$A$2:$X$333,23,0)&amp;""</f>
        <v>Minor Importance</v>
      </c>
      <c r="J184" s="185"/>
      <c r="K184" s="48" t="b">
        <v>0</v>
      </c>
      <c r="L184" s="1"/>
    </row>
    <row r="185" spans="1:12" s="1" customFormat="1" ht="18" x14ac:dyDescent="0.2">
      <c r="A185" s="63" t="str">
        <f>VLOOKUP(LEFT($A186,4),'Auto Responses'!$N$4:$O$38,2,0)&amp;""</f>
        <v xml:space="preserve"> Datacenter</v>
      </c>
      <c r="B185" s="22"/>
      <c r="C185" s="31"/>
      <c r="D185" s="31"/>
      <c r="E185" s="331"/>
      <c r="F185" s="131" t="s">
        <v>1030</v>
      </c>
      <c r="G185" s="335" t="s">
        <v>869</v>
      </c>
      <c r="H185" s="335" t="s">
        <v>871</v>
      </c>
      <c r="I185" s="335" t="s">
        <v>19</v>
      </c>
      <c r="J185" s="335" t="s">
        <v>856</v>
      </c>
      <c r="K185" s="335" t="s">
        <v>867</v>
      </c>
    </row>
    <row r="186" spans="1:12" s="29" customFormat="1" ht="135" x14ac:dyDescent="0.2">
      <c r="A186" s="19" t="str">
        <f>Infrastructure!$A$35</f>
        <v>DCTR-01</v>
      </c>
      <c r="B186" s="20" t="str">
        <f>VLOOKUP($A186,Infrastructure!$A$13:$E$74,2,0)&amp;""</f>
        <v>Select your hosting option.</v>
      </c>
      <c r="C186" s="45" t="str">
        <f>VLOOKUP($A186,Infrastructure!$A$13:$E$74,3,0)&amp;""</f>
        <v/>
      </c>
      <c r="D186" s="34" t="str">
        <f>IF(LEFT(VLOOKUP($A186,Infrastructure!$A$13:$E$74,5,0),21)='Auto Responses'!$A$32,'Auto Responses'!$A$33,VLOOKUP($A186,Infrastructure!$A$13:$E$74,4,0))&amp;""</f>
        <v/>
      </c>
      <c r="E186" s="330" t="str">
        <f>VLOOKUP($A186,Infrastructure!$A$13:$E$74,5,0)&amp;""</f>
        <v>If you are using an option not listed, or a combination of options, select "Other." Your selection here will determine which questions below are required.</v>
      </c>
      <c r="F186" s="195"/>
      <c r="G186" s="30" t="str">
        <f>VLOOKUP($A186,Questions!$A$2:$X$333,21,0)&amp;""</f>
        <v>Not scored</v>
      </c>
      <c r="H186" s="185"/>
      <c r="I186" s="45" t="str">
        <f>VLOOKUP($A186,Questions!$A$2:$X$333,23,0)&amp;""</f>
        <v/>
      </c>
      <c r="J186" s="185"/>
      <c r="K186" s="48" t="b">
        <v>0</v>
      </c>
      <c r="L186" s="1"/>
    </row>
    <row r="187" spans="1:12" s="29" customFormat="1" ht="15" x14ac:dyDescent="0.2">
      <c r="A187" s="19" t="str">
        <f>Infrastructure!$A$36</f>
        <v>DCTR-02</v>
      </c>
      <c r="B187" s="20" t="str">
        <f>VLOOKUP($A187,Infrastructure!$A$13:$E$74,2,0)&amp;""</f>
        <v>Is a SOC 2 Type 2 report available for the hosting environment?</v>
      </c>
      <c r="C187" s="45" t="str">
        <f>VLOOKUP($A187,Infrastructure!$A$13:$E$74,3,0)&amp;""</f>
        <v/>
      </c>
      <c r="D187" s="34" t="str">
        <f>IF(LEFT(VLOOKUP($A187,Infrastructure!$A$13:$E$74,5,0),21)='Auto Responses'!$A$32,'Auto Responses'!$A$33,VLOOKUP($A187,Infrastructure!$A$13:$E$74,4,0))&amp;""</f>
        <v/>
      </c>
      <c r="E187" s="330" t="str">
        <f>VLOOKUP($A187,Infrastructure!$A$13:$E$74,5,0)&amp;""</f>
        <v/>
      </c>
      <c r="F187" s="195"/>
      <c r="G187" s="30" t="str">
        <f>VLOOKUP($A187,Questions!$A$2:$X$333,21,0)&amp;""</f>
        <v>Yes</v>
      </c>
      <c r="H187" s="185"/>
      <c r="I187" s="45" t="str">
        <f>VLOOKUP($A187,Questions!$A$2:$X$333,23,0)&amp;""</f>
        <v>Standard Importance</v>
      </c>
      <c r="J187" s="185"/>
      <c r="K187" s="48" t="b">
        <v>0</v>
      </c>
      <c r="L187" s="1"/>
    </row>
    <row r="188" spans="1:12" s="29" customFormat="1" ht="28.5" x14ac:dyDescent="0.2">
      <c r="A188" s="19" t="str">
        <f>Infrastructure!$A$37</f>
        <v>DCTR-03</v>
      </c>
      <c r="B188" s="20" t="str">
        <f>VLOOKUP($A188,Infrastructure!$A$13:$E$74,2,0)&amp;""</f>
        <v>Are you generally able to accommodate storing each institution's data within its geographic region?</v>
      </c>
      <c r="C188" s="45" t="str">
        <f>VLOOKUP($A188,Infrastructure!$A$13:$E$74,3,0)&amp;""</f>
        <v/>
      </c>
      <c r="D188" s="34" t="str">
        <f>IF(LEFT(VLOOKUP($A188,Infrastructure!$A$13:$E$74,5,0),21)='Auto Responses'!$A$32,'Auto Responses'!$A$33,VLOOKUP($A188,Infrastructure!$A$13:$E$74,4,0))&amp;""</f>
        <v/>
      </c>
      <c r="E188" s="330" t="str">
        <f>VLOOKUP($A188,Infrastructure!$A$13:$E$74,5,0)&amp;""</f>
        <v/>
      </c>
      <c r="F188" s="195"/>
      <c r="G188" s="30" t="str">
        <f>VLOOKUP($A188,Questions!$A$2:$X$333,21,0)&amp;""</f>
        <v>Yes</v>
      </c>
      <c r="H188" s="185"/>
      <c r="I188" s="45" t="str">
        <f>VLOOKUP($A188,Questions!$A$2:$X$333,23,0)&amp;""</f>
        <v>Standard Importance</v>
      </c>
      <c r="J188" s="185"/>
      <c r="K188" s="48" t="b">
        <v>0</v>
      </c>
      <c r="L188" s="1"/>
    </row>
    <row r="189" spans="1:12" s="29" customFormat="1" ht="28.5" x14ac:dyDescent="0.2">
      <c r="A189" s="19" t="str">
        <f>Infrastructure!$A$38</f>
        <v>DCTR-04</v>
      </c>
      <c r="B189" s="20" t="str">
        <f>VLOOKUP($A189,Infrastructure!$A$13:$E$74,2,0)&amp;""</f>
        <v>Are the data centers staffed 24 hours a day, seven days a week (i.e., 24 x 7 x 365)?</v>
      </c>
      <c r="C189" s="45" t="str">
        <f>VLOOKUP($A189,Infrastructure!$A$13:$E$74,3,0)&amp;""</f>
        <v/>
      </c>
      <c r="D189" s="34" t="str">
        <f>IF(LEFT(VLOOKUP($A189,Infrastructure!$A$13:$E$74,5,0),21)='Auto Responses'!$A$32,'Auto Responses'!$A$33,VLOOKUP($A189,Infrastructure!$A$13:$E$74,4,0))&amp;""</f>
        <v/>
      </c>
      <c r="E189" s="330" t="str">
        <f>VLOOKUP($A189,Infrastructure!$A$13:$E$74,5,0)&amp;""</f>
        <v/>
      </c>
      <c r="F189" s="195"/>
      <c r="G189" s="30" t="str">
        <f>VLOOKUP($A189,Questions!$A$2:$X$333,21,0)&amp;""</f>
        <v>Yes</v>
      </c>
      <c r="H189" s="185"/>
      <c r="I189" s="45" t="str">
        <f>VLOOKUP($A189,Questions!$A$2:$X$333,23,0)&amp;""</f>
        <v>Standard Importance</v>
      </c>
      <c r="J189" s="185"/>
      <c r="K189" s="48" t="b">
        <v>0</v>
      </c>
      <c r="L189" s="1"/>
    </row>
    <row r="190" spans="1:12" s="29" customFormat="1" ht="28.5" x14ac:dyDescent="0.2">
      <c r="A190" s="19" t="str">
        <f>Infrastructure!$A$39</f>
        <v>DCTR-05</v>
      </c>
      <c r="B190" s="20" t="str">
        <f>VLOOKUP($A190,Infrastructure!$A$13:$E$74,2,0)&amp;""</f>
        <v>Are your servers separated from other companies via a physical barrier, such as a cage or hard walls?</v>
      </c>
      <c r="C190" s="45" t="str">
        <f>VLOOKUP($A190,Infrastructure!$A$13:$E$74,3,0)&amp;""</f>
        <v/>
      </c>
      <c r="D190" s="34" t="str">
        <f>IF(LEFT(VLOOKUP($A190,Infrastructure!$A$13:$E$74,5,0),21)='Auto Responses'!$A$32,'Auto Responses'!$A$33,VLOOKUP($A190,Infrastructure!$A$13:$E$74,4,0))&amp;""</f>
        <v/>
      </c>
      <c r="E190" s="330" t="str">
        <f>VLOOKUP($A190,Infrastructure!$A$13:$E$74,5,0)&amp;""</f>
        <v/>
      </c>
      <c r="F190" s="195"/>
      <c r="G190" s="30" t="str">
        <f>VLOOKUP($A190,Questions!$A$2:$X$333,21,0)&amp;""</f>
        <v>Yes</v>
      </c>
      <c r="H190" s="185"/>
      <c r="I190" s="45" t="str">
        <f>VLOOKUP($A190,Questions!$A$2:$X$333,23,0)&amp;""</f>
        <v>Standard Importance</v>
      </c>
      <c r="J190" s="185"/>
      <c r="K190" s="48" t="b">
        <v>0</v>
      </c>
      <c r="L190" s="1"/>
    </row>
    <row r="191" spans="1:12" s="29" customFormat="1" ht="28.5" x14ac:dyDescent="0.2">
      <c r="A191" s="19" t="str">
        <f>Infrastructure!$A$40</f>
        <v>DCTR-06</v>
      </c>
      <c r="B191" s="20" t="str">
        <f>VLOOKUP($A191,Infrastructure!$A$13:$E$74,2,0)&amp;""</f>
        <v>Does a physical barrier fully enclose the physical space, preventing unauthorized physical contact with any of your devices?*</v>
      </c>
      <c r="C191" s="45" t="str">
        <f>VLOOKUP($A191,Infrastructure!$A$13:$E$74,3,0)&amp;""</f>
        <v/>
      </c>
      <c r="D191" s="34" t="str">
        <f>IF(LEFT(VLOOKUP($A191,Infrastructure!$A$13:$E$74,5,0),21)='Auto Responses'!$A$32,'Auto Responses'!$A$33,VLOOKUP($A191,Infrastructure!$A$13:$E$74,4,0))&amp;""</f>
        <v/>
      </c>
      <c r="E191" s="330" t="str">
        <f>VLOOKUP($A191,Infrastructure!$A$13:$E$74,5,0)&amp;""</f>
        <v/>
      </c>
      <c r="F191" s="195"/>
      <c r="G191" s="30" t="str">
        <f>VLOOKUP($A191,Questions!$A$2:$X$333,21,0)&amp;""</f>
        <v>Yes</v>
      </c>
      <c r="H191" s="185"/>
      <c r="I191" s="45" t="str">
        <f>VLOOKUP($A191,Questions!$A$2:$X$333,23,0)&amp;""</f>
        <v>Critical Importance</v>
      </c>
      <c r="J191" s="185"/>
      <c r="K191" s="48" t="b">
        <v>0</v>
      </c>
      <c r="L191" s="1"/>
    </row>
    <row r="192" spans="1:12" s="29" customFormat="1" ht="15" x14ac:dyDescent="0.2">
      <c r="A192" s="19" t="str">
        <f>Infrastructure!$A$41</f>
        <v>DCTR-07</v>
      </c>
      <c r="B192" s="20" t="str">
        <f>VLOOKUP($A192,Infrastructure!$A$13:$E$74,2,0)&amp;""</f>
        <v>Are your primary and secondary data centers geographically diverse?</v>
      </c>
      <c r="C192" s="45" t="str">
        <f>VLOOKUP($A192,Infrastructure!$A$13:$E$74,3,0)&amp;""</f>
        <v/>
      </c>
      <c r="D192" s="34" t="str">
        <f>IF(LEFT(VLOOKUP($A192,Infrastructure!$A$13:$E$74,5,0),21)='Auto Responses'!$A$32,'Auto Responses'!$A$33,VLOOKUP($A192,Infrastructure!$A$13:$E$74,4,0))&amp;""</f>
        <v/>
      </c>
      <c r="E192" s="330" t="str">
        <f>VLOOKUP($A192,Infrastructure!$A$13:$E$74,5,0)&amp;""</f>
        <v/>
      </c>
      <c r="F192" s="195"/>
      <c r="G192" s="30" t="str">
        <f>VLOOKUP($A192,Questions!$A$2:$X$333,21,0)&amp;""</f>
        <v>Yes</v>
      </c>
      <c r="H192" s="185"/>
      <c r="I192" s="45" t="str">
        <f>VLOOKUP($A192,Questions!$A$2:$X$333,23,0)&amp;""</f>
        <v>Standard Importance</v>
      </c>
      <c r="J192" s="185"/>
      <c r="K192" s="48" t="b">
        <v>0</v>
      </c>
      <c r="L192" s="1"/>
    </row>
    <row r="193" spans="1:12" s="29" customFormat="1" ht="15" x14ac:dyDescent="0.2">
      <c r="A193" s="19" t="str">
        <f>Infrastructure!$A$42</f>
        <v>DCTR-08</v>
      </c>
      <c r="B193" s="20" t="str">
        <f>VLOOKUP($A193,Infrastructure!$A$13:$E$74,2,0)&amp;""</f>
        <v>Is the service hosted in a high-availability environment?</v>
      </c>
      <c r="C193" s="45" t="str">
        <f>VLOOKUP($A193,Infrastructure!$A$13:$E$74,3,0)&amp;""</f>
        <v/>
      </c>
      <c r="D193" s="34" t="str">
        <f>IF(LEFT(VLOOKUP($A193,Infrastructure!$A$13:$E$74,5,0),21)='Auto Responses'!$A$32,'Auto Responses'!$A$33,VLOOKUP($A193,Infrastructure!$A$13:$E$74,4,0))&amp;""</f>
        <v/>
      </c>
      <c r="E193" s="330" t="str">
        <f>VLOOKUP($A193,Infrastructure!$A$13:$E$74,5,0)&amp;""</f>
        <v/>
      </c>
      <c r="F193" s="195"/>
      <c r="G193" s="30" t="str">
        <f>VLOOKUP($A193,Questions!$A$2:$X$333,21,0)&amp;""</f>
        <v>Yes</v>
      </c>
      <c r="H193" s="185"/>
      <c r="I193" s="45" t="str">
        <f>VLOOKUP($A193,Questions!$A$2:$X$333,23,0)&amp;""</f>
        <v>Standard Importance</v>
      </c>
      <c r="J193" s="185"/>
      <c r="K193" s="48" t="b">
        <v>0</v>
      </c>
      <c r="L193" s="1"/>
    </row>
    <row r="194" spans="1:12" s="29" customFormat="1" ht="28.5" x14ac:dyDescent="0.2">
      <c r="A194" s="19" t="str">
        <f>Infrastructure!$A$43</f>
        <v>DCTR-09</v>
      </c>
      <c r="B194" s="20" t="str">
        <f>VLOOKUP($A194,Infrastructure!$A$13:$E$74,2,0)&amp;""</f>
        <v>Is redundant power available for all data centers where institutional data will reside?</v>
      </c>
      <c r="C194" s="45" t="str">
        <f>VLOOKUP($A194,Infrastructure!$A$13:$E$74,3,0)&amp;""</f>
        <v/>
      </c>
      <c r="D194" s="34" t="str">
        <f>IF(LEFT(VLOOKUP($A194,Infrastructure!$A$13:$E$74,5,0),21)='Auto Responses'!$A$32,'Auto Responses'!$A$33,VLOOKUP($A194,Infrastructure!$A$13:$E$74,4,0))&amp;""</f>
        <v/>
      </c>
      <c r="E194" s="330" t="str">
        <f>VLOOKUP($A194,Infrastructure!$A$13:$E$74,5,0)&amp;""</f>
        <v/>
      </c>
      <c r="F194" s="195"/>
      <c r="G194" s="30" t="str">
        <f>VLOOKUP($A194,Questions!$A$2:$X$333,21,0)&amp;""</f>
        <v>Yes</v>
      </c>
      <c r="H194" s="185"/>
      <c r="I194" s="45" t="str">
        <f>VLOOKUP($A194,Questions!$A$2:$X$333,23,0)&amp;""</f>
        <v>Standard Importance</v>
      </c>
      <c r="J194" s="185"/>
      <c r="K194" s="48" t="b">
        <v>0</v>
      </c>
      <c r="L194" s="1"/>
    </row>
    <row r="195" spans="1:12" s="29" customFormat="1" ht="15" x14ac:dyDescent="0.2">
      <c r="A195" s="19" t="str">
        <f>Infrastructure!$A$44</f>
        <v>DCTR-10</v>
      </c>
      <c r="B195" s="20" t="str">
        <f>VLOOKUP($A195,Infrastructure!$A$13:$E$74,2,0)&amp;""</f>
        <v>Are redundant power strategies tested?*</v>
      </c>
      <c r="C195" s="45" t="str">
        <f>VLOOKUP($A195,Infrastructure!$A$13:$E$74,3,0)&amp;""</f>
        <v/>
      </c>
      <c r="D195" s="34" t="str">
        <f>IF(LEFT(VLOOKUP($A195,Infrastructure!$A$13:$E$74,5,0),21)='Auto Responses'!$A$32,'Auto Responses'!$A$33,VLOOKUP($A195,Infrastructure!$A$13:$E$74,4,0))&amp;""</f>
        <v/>
      </c>
      <c r="E195" s="330" t="str">
        <f>VLOOKUP($A195,Infrastructure!$A$13:$E$74,5,0)&amp;""</f>
        <v/>
      </c>
      <c r="F195" s="195"/>
      <c r="G195" s="30" t="str">
        <f>VLOOKUP($A195,Questions!$A$2:$X$333,21,0)&amp;""</f>
        <v>Yes</v>
      </c>
      <c r="H195" s="185"/>
      <c r="I195" s="45" t="str">
        <f>VLOOKUP($A195,Questions!$A$2:$X$333,23,0)&amp;""</f>
        <v>Critical Importance</v>
      </c>
      <c r="J195" s="185"/>
      <c r="K195" s="48" t="b">
        <v>0</v>
      </c>
      <c r="L195" s="1"/>
    </row>
    <row r="196" spans="1:12" s="29" customFormat="1" ht="28.5" x14ac:dyDescent="0.2">
      <c r="A196" s="19" t="str">
        <f>Infrastructure!$A$45</f>
        <v>DCTR-11</v>
      </c>
      <c r="B196" s="20" t="str">
        <f>VLOOKUP($A196,Infrastructure!$A$13:$E$74,2,0)&amp;""</f>
        <v>Does the center where the data will reside have cooling and fire-suppression systems that are active and regularly tested?</v>
      </c>
      <c r="C196" s="45" t="str">
        <f>VLOOKUP($A196,Infrastructure!$A$13:$E$74,3,0)&amp;""</f>
        <v/>
      </c>
      <c r="D196" s="34" t="str">
        <f>IF(LEFT(VLOOKUP($A196,Infrastructure!$A$13:$E$74,5,0),21)='Auto Responses'!$A$32,'Auto Responses'!$A$33,VLOOKUP($A196,Infrastructure!$A$13:$E$74,4,0))&amp;""</f>
        <v/>
      </c>
      <c r="E196" s="330" t="str">
        <f>VLOOKUP($A196,Infrastructure!$A$13:$E$74,5,0)&amp;""</f>
        <v/>
      </c>
      <c r="F196" s="195"/>
      <c r="G196" s="30" t="str">
        <f>VLOOKUP($A196,Questions!$A$2:$X$333,21,0)&amp;""</f>
        <v>Yes</v>
      </c>
      <c r="H196" s="185"/>
      <c r="I196" s="45" t="str">
        <f>VLOOKUP($A196,Questions!$A$2:$X$333,23,0)&amp;""</f>
        <v>Standard Importance</v>
      </c>
      <c r="J196" s="185"/>
      <c r="K196" s="48" t="b">
        <v>0</v>
      </c>
      <c r="L196" s="1"/>
    </row>
    <row r="197" spans="1:12" s="29" customFormat="1" ht="15" x14ac:dyDescent="0.2">
      <c r="A197" s="19" t="str">
        <f>Infrastructure!$A$46</f>
        <v>DCTR-12</v>
      </c>
      <c r="B197" s="20" t="str">
        <f>VLOOKUP($A197,Infrastructure!$A$13:$E$74,2,0)&amp;""</f>
        <v>Do you have Internet Service Provider (ISP) redundancy?</v>
      </c>
      <c r="C197" s="45" t="str">
        <f>VLOOKUP($A197,Infrastructure!$A$13:$E$74,3,0)&amp;""</f>
        <v/>
      </c>
      <c r="D197" s="34" t="str">
        <f>IF(LEFT(VLOOKUP($A197,Infrastructure!$A$13:$E$74,5,0),21)='Auto Responses'!$A$32,'Auto Responses'!$A$33,VLOOKUP($A197,Infrastructure!$A$13:$E$74,4,0))&amp;""</f>
        <v/>
      </c>
      <c r="E197" s="330" t="str">
        <f>VLOOKUP($A197,Infrastructure!$A$13:$E$74,5,0)&amp;""</f>
        <v/>
      </c>
      <c r="F197" s="195"/>
      <c r="G197" s="30" t="str">
        <f>VLOOKUP($A197,Questions!$A$2:$X$333,21,0)&amp;""</f>
        <v>Yes</v>
      </c>
      <c r="H197" s="185"/>
      <c r="I197" s="45" t="str">
        <f>VLOOKUP($A197,Questions!$A$2:$X$333,23,0)&amp;""</f>
        <v>Standard Importance</v>
      </c>
      <c r="J197" s="185"/>
      <c r="K197" s="48" t="b">
        <v>0</v>
      </c>
      <c r="L197" s="1"/>
    </row>
    <row r="198" spans="1:12" s="29" customFormat="1" ht="28.5" x14ac:dyDescent="0.2">
      <c r="A198" s="19" t="str">
        <f>Infrastructure!$A$47</f>
        <v>DCTR-13</v>
      </c>
      <c r="B198" s="20" t="str">
        <f>VLOOKUP($A198,Infrastructure!$A$13:$E$74,2,0)&amp;""</f>
        <v>Does every data center where the institution's data will reside have multiple telephone company or network provider entrances to the facility?</v>
      </c>
      <c r="C198" s="45" t="str">
        <f>VLOOKUP($A198,Infrastructure!$A$13:$E$74,3,0)&amp;""</f>
        <v/>
      </c>
      <c r="D198" s="34" t="str">
        <f>IF(LEFT(VLOOKUP($A198,Infrastructure!$A$13:$E$74,5,0),21)='Auto Responses'!$A$32,'Auto Responses'!$A$33,VLOOKUP($A198,Infrastructure!$A$13:$E$74,4,0))&amp;""</f>
        <v/>
      </c>
      <c r="E198" s="330" t="str">
        <f>VLOOKUP($A198,Infrastructure!$A$13:$E$74,5,0)&amp;""</f>
        <v/>
      </c>
      <c r="F198" s="195"/>
      <c r="G198" s="30" t="str">
        <f>VLOOKUP($A198,Questions!$A$2:$X$333,21,0)&amp;""</f>
        <v>Yes</v>
      </c>
      <c r="H198" s="185"/>
      <c r="I198" s="45" t="str">
        <f>VLOOKUP($A198,Questions!$A$2:$X$333,23,0)&amp;""</f>
        <v>Standard Importance</v>
      </c>
      <c r="J198" s="185"/>
      <c r="K198" s="48" t="b">
        <v>0</v>
      </c>
      <c r="L198" s="1"/>
    </row>
    <row r="199" spans="1:12" s="29" customFormat="1" ht="28.5" x14ac:dyDescent="0.2">
      <c r="A199" s="19" t="str">
        <f>Infrastructure!$A$48</f>
        <v>DCTR-14</v>
      </c>
      <c r="B199" s="20" t="str">
        <f>VLOOKUP($A199,Infrastructure!$A$13:$E$74,2,0)&amp;""</f>
        <v>Do you require multifactor authentication for all administrative accounts in your environment?</v>
      </c>
      <c r="C199" s="45" t="str">
        <f>VLOOKUP($A199,Infrastructure!$A$13:$E$74,3,0)&amp;""</f>
        <v/>
      </c>
      <c r="D199" s="34" t="str">
        <f>IF(LEFT(VLOOKUP($A199,Infrastructure!$A$13:$E$74,5,0),21)='Auto Responses'!$A$32,'Auto Responses'!$A$33,VLOOKUP($A199,Infrastructure!$A$13:$E$74,4,0))&amp;""</f>
        <v/>
      </c>
      <c r="E199" s="330" t="str">
        <f>VLOOKUP($A199,Infrastructure!$A$13:$E$74,5,0)&amp;""</f>
        <v/>
      </c>
      <c r="F199" s="195"/>
      <c r="G199" s="30" t="str">
        <f>VLOOKUP($A199,Questions!$A$2:$X$333,21,0)&amp;""</f>
        <v>Yes</v>
      </c>
      <c r="H199" s="185"/>
      <c r="I199" s="45" t="str">
        <f>VLOOKUP($A199,Questions!$A$2:$X$333,23,0)&amp;""</f>
        <v>Standard Importance</v>
      </c>
      <c r="J199" s="185"/>
      <c r="K199" s="48" t="b">
        <v>0</v>
      </c>
      <c r="L199" s="1"/>
    </row>
    <row r="200" spans="1:12" s="29" customFormat="1" ht="28.5" x14ac:dyDescent="0.2">
      <c r="A200" s="19" t="str">
        <f>Infrastructure!$A$49</f>
        <v>DCTR-15</v>
      </c>
      <c r="B200" s="20" t="str">
        <f>VLOOKUP($A200,Infrastructure!$A$13:$E$74,2,0)&amp;""</f>
        <v>Are you using your cloud provider's available hardening tools or pre-hardened images?</v>
      </c>
      <c r="C200" s="45" t="str">
        <f>VLOOKUP($A200,Infrastructure!$A$13:$E$74,3,0)&amp;""</f>
        <v/>
      </c>
      <c r="D200" s="34" t="str">
        <f>IF(LEFT(VLOOKUP($A200,Infrastructure!$A$13:$E$74,5,0),21)='Auto Responses'!$A$32,'Auto Responses'!$A$33,VLOOKUP($A200,Infrastructure!$A$13:$E$74,4,0))&amp;""</f>
        <v/>
      </c>
      <c r="E200" s="330" t="str">
        <f>VLOOKUP($A200,Infrastructure!$A$13:$E$74,5,0)&amp;""</f>
        <v/>
      </c>
      <c r="F200" s="195"/>
      <c r="G200" s="30" t="str">
        <f>VLOOKUP($A200,Questions!$A$2:$X$333,21,0)&amp;""</f>
        <v>Yes</v>
      </c>
      <c r="H200" s="185"/>
      <c r="I200" s="45" t="str">
        <f>VLOOKUP($A200,Questions!$A$2:$X$333,23,0)&amp;""</f>
        <v>Standard Importance</v>
      </c>
      <c r="J200" s="185"/>
      <c r="K200" s="48" t="b">
        <v>0</v>
      </c>
      <c r="L200" s="1"/>
    </row>
    <row r="201" spans="1:12" s="29" customFormat="1" ht="15" x14ac:dyDescent="0.2">
      <c r="A201" s="19" t="str">
        <f>Infrastructure!$A$50</f>
        <v>DCTR-16</v>
      </c>
      <c r="B201" s="20" t="str">
        <f>VLOOKUP($A201,Infrastructure!$A$13:$E$74,2,0)&amp;""</f>
        <v>Does your cloud solution provider have access to your encryption keys?</v>
      </c>
      <c r="C201" s="45" t="str">
        <f>VLOOKUP($A201,Infrastructure!$A$13:$E$74,3,0)&amp;""</f>
        <v/>
      </c>
      <c r="D201" s="34" t="str">
        <f>IF(LEFT(VLOOKUP($A201,Infrastructure!$A$13:$E$74,5,0),21)='Auto Responses'!$A$32,'Auto Responses'!$A$33,VLOOKUP($A201,Infrastructure!$A$13:$E$74,4,0))&amp;""</f>
        <v/>
      </c>
      <c r="E201" s="330" t="str">
        <f>VLOOKUP($A201,Infrastructure!$A$13:$E$74,5,0)&amp;""</f>
        <v/>
      </c>
      <c r="F201" s="195"/>
      <c r="G201" s="30" t="str">
        <f>VLOOKUP($A201,Questions!$A$2:$X$333,21,0)&amp;""</f>
        <v>No</v>
      </c>
      <c r="H201" s="185"/>
      <c r="I201" s="45" t="str">
        <f>VLOOKUP($A201,Questions!$A$2:$X$333,23,0)&amp;""</f>
        <v>Standard Importance</v>
      </c>
      <c r="J201" s="185"/>
      <c r="K201" s="48" t="b">
        <v>0</v>
      </c>
      <c r="L201" s="1"/>
    </row>
    <row r="202" spans="1:12" s="1" customFormat="1" ht="18" x14ac:dyDescent="0.2">
      <c r="A202" s="63" t="str">
        <f>VLOOKUP(LEFT($A203,4),'Auto Responses'!$N$4:$O$38,2,0)&amp;""</f>
        <v xml:space="preserve"> Firewalls, IDS, IPS, and Networking</v>
      </c>
      <c r="B202" s="22"/>
      <c r="C202" s="31"/>
      <c r="D202" s="31"/>
      <c r="E202" s="331"/>
      <c r="F202" s="131" t="s">
        <v>1030</v>
      </c>
      <c r="G202" s="335" t="s">
        <v>869</v>
      </c>
      <c r="H202" s="335" t="s">
        <v>871</v>
      </c>
      <c r="I202" s="335" t="s">
        <v>19</v>
      </c>
      <c r="J202" s="335" t="s">
        <v>856</v>
      </c>
      <c r="K202" s="335" t="s">
        <v>867</v>
      </c>
    </row>
    <row r="203" spans="1:12" s="29" customFormat="1" ht="15" x14ac:dyDescent="0.2">
      <c r="A203" s="19" t="str">
        <f>Infrastructure!$A$52</f>
        <v>FIDP-01</v>
      </c>
      <c r="B203" s="20" t="str">
        <f>VLOOKUP($A203,Infrastructure!$A$13:$E$74,2,0)&amp;""</f>
        <v>Are you utilizing a stateful packet inspection (SPI) firewall?*</v>
      </c>
      <c r="C203" s="45" t="str">
        <f>VLOOKUP($A203,Infrastructure!$A$13:$E$74,3,0)&amp;""</f>
        <v/>
      </c>
      <c r="D203" s="34" t="str">
        <f>IF(LEFT(VLOOKUP($A203,Infrastructure!$A$13:$E$74,5,0),21)='Auto Responses'!$A$32,'Auto Responses'!$A$33,VLOOKUP($A203,Infrastructure!$A$13:$E$74,4,0))&amp;""</f>
        <v/>
      </c>
      <c r="E203" s="330" t="str">
        <f>VLOOKUP($A203,Infrastructure!$A$13:$E$74,5,0)&amp;""</f>
        <v/>
      </c>
      <c r="F203" s="195"/>
      <c r="G203" s="30" t="str">
        <f>VLOOKUP($A203,Questions!$A$2:$X$333,21,0)&amp;""</f>
        <v>Yes</v>
      </c>
      <c r="H203" s="185"/>
      <c r="I203" s="45" t="str">
        <f>VLOOKUP($A203,Questions!$A$2:$X$333,23,0)&amp;""</f>
        <v>Critical Importance</v>
      </c>
      <c r="J203" s="185"/>
      <c r="K203" s="48" t="b">
        <v>0</v>
      </c>
      <c r="L203" s="1"/>
    </row>
    <row r="204" spans="1:12" s="29" customFormat="1" ht="15" x14ac:dyDescent="0.2">
      <c r="A204" s="19" t="str">
        <f>Infrastructure!$A$53</f>
        <v>FIDP-02</v>
      </c>
      <c r="B204" s="20" t="str">
        <f>VLOOKUP($A204,Infrastructure!$A$13:$E$74,2,0)&amp;""</f>
        <v>Do you have a documented policy for firewall change requests?*</v>
      </c>
      <c r="C204" s="45" t="str">
        <f>VLOOKUP($A204,Infrastructure!$A$13:$E$74,3,0)&amp;""</f>
        <v/>
      </c>
      <c r="D204" s="34" t="str">
        <f>IF(LEFT(VLOOKUP($A204,Infrastructure!$A$13:$E$74,5,0),21)='Auto Responses'!$A$32,'Auto Responses'!$A$33,VLOOKUP($A204,Infrastructure!$A$13:$E$74,4,0))&amp;""</f>
        <v/>
      </c>
      <c r="E204" s="330" t="str">
        <f>VLOOKUP($A204,Infrastructure!$A$13:$E$74,5,0)&amp;""</f>
        <v/>
      </c>
      <c r="F204" s="195"/>
      <c r="G204" s="30" t="str">
        <f>VLOOKUP($A204,Questions!$A$2:$X$333,21,0)&amp;""</f>
        <v>Yes</v>
      </c>
      <c r="H204" s="185"/>
      <c r="I204" s="45" t="str">
        <f>VLOOKUP($A204,Questions!$A$2:$X$333,23,0)&amp;""</f>
        <v>Critical Importance</v>
      </c>
      <c r="J204" s="185"/>
      <c r="K204" s="48" t="b">
        <v>0</v>
      </c>
      <c r="L204" s="1"/>
    </row>
    <row r="205" spans="1:12" s="29" customFormat="1" ht="15" x14ac:dyDescent="0.2">
      <c r="A205" s="19" t="str">
        <f>Infrastructure!$A$54</f>
        <v>FIDP-03</v>
      </c>
      <c r="B205" s="20" t="str">
        <f>VLOOKUP($A205,Infrastructure!$A$13:$E$74,2,0)&amp;""</f>
        <v>Have you implemented an intrusion detection system (network-based)?*</v>
      </c>
      <c r="C205" s="45" t="str">
        <f>VLOOKUP($A205,Infrastructure!$A$13:$E$74,3,0)&amp;""</f>
        <v/>
      </c>
      <c r="D205" s="34" t="str">
        <f>IF(LEFT(VLOOKUP($A205,Infrastructure!$A$13:$E$74,5,0),21)='Auto Responses'!$A$32,'Auto Responses'!$A$33,VLOOKUP($A205,Infrastructure!$A$13:$E$74,4,0))&amp;""</f>
        <v/>
      </c>
      <c r="E205" s="330" t="str">
        <f>VLOOKUP($A205,Infrastructure!$A$13:$E$74,5,0)&amp;""</f>
        <v/>
      </c>
      <c r="F205" s="195"/>
      <c r="G205" s="30" t="str">
        <f>VLOOKUP($A205,Questions!$A$2:$X$333,21,0)&amp;""</f>
        <v>Yes</v>
      </c>
      <c r="H205" s="185"/>
      <c r="I205" s="45" t="str">
        <f>VLOOKUP($A205,Questions!$A$2:$X$333,23,0)&amp;""</f>
        <v>Critical Importance</v>
      </c>
      <c r="J205" s="185"/>
      <c r="K205" s="48" t="b">
        <v>0</v>
      </c>
      <c r="L205" s="1"/>
    </row>
    <row r="206" spans="1:12" s="29" customFormat="1" ht="15" x14ac:dyDescent="0.2">
      <c r="A206" s="19" t="str">
        <f>Infrastructure!$A$55</f>
        <v>FIDP-04</v>
      </c>
      <c r="B206" s="20" t="str">
        <f>VLOOKUP($A206,Infrastructure!$A$13:$E$74,2,0)&amp;""</f>
        <v>Do you employ host-based intrusion detection?*</v>
      </c>
      <c r="C206" s="45" t="str">
        <f>VLOOKUP($A206,Infrastructure!$A$13:$E$74,3,0)&amp;""</f>
        <v/>
      </c>
      <c r="D206" s="34" t="str">
        <f>IF(LEFT(VLOOKUP($A206,Infrastructure!$A$13:$E$74,5,0),21)='Auto Responses'!$A$32,'Auto Responses'!$A$33,VLOOKUP($A206,Infrastructure!$A$13:$E$74,4,0))&amp;""</f>
        <v/>
      </c>
      <c r="E206" s="330" t="str">
        <f>VLOOKUP($A206,Infrastructure!$A$13:$E$74,5,0)&amp;""</f>
        <v/>
      </c>
      <c r="F206" s="195"/>
      <c r="G206" s="30" t="str">
        <f>VLOOKUP($A206,Questions!$A$2:$X$333,21,0)&amp;""</f>
        <v>Yes</v>
      </c>
      <c r="H206" s="185"/>
      <c r="I206" s="45" t="str">
        <f>VLOOKUP($A206,Questions!$A$2:$X$333,23,0)&amp;""</f>
        <v>Critical Importance</v>
      </c>
      <c r="J206" s="185"/>
      <c r="K206" s="48" t="b">
        <v>0</v>
      </c>
      <c r="L206" s="1"/>
    </row>
    <row r="207" spans="1:12" s="29" customFormat="1" ht="28.5" x14ac:dyDescent="0.2">
      <c r="A207" s="19" t="str">
        <f>Infrastructure!$A$56</f>
        <v>FIDP-05</v>
      </c>
      <c r="B207" s="20" t="str">
        <f>VLOOKUP($A207,Infrastructure!$A$13:$E$74,2,0)&amp;""</f>
        <v>Are audit logs available for all changes to the network, firewall, IDS, and IPS systems?*</v>
      </c>
      <c r="C207" s="45" t="str">
        <f>VLOOKUP($A207,Infrastructure!$A$13:$E$74,3,0)&amp;""</f>
        <v/>
      </c>
      <c r="D207" s="34" t="str">
        <f>IF(LEFT(VLOOKUP($A207,Infrastructure!$A$13:$E$74,5,0),21)='Auto Responses'!$A$32,'Auto Responses'!$A$33,VLOOKUP($A207,Infrastructure!$A$13:$E$74,4,0))&amp;""</f>
        <v/>
      </c>
      <c r="E207" s="330" t="str">
        <f>VLOOKUP($A207,Infrastructure!$A$13:$E$74,5,0)&amp;""</f>
        <v/>
      </c>
      <c r="F207" s="195"/>
      <c r="G207" s="30" t="str">
        <f>VLOOKUP($A207,Questions!$A$2:$X$333,21,0)&amp;""</f>
        <v>Yes</v>
      </c>
      <c r="H207" s="185"/>
      <c r="I207" s="45" t="str">
        <f>VLOOKUP($A207,Questions!$A$2:$X$333,23,0)&amp;""</f>
        <v>Critical Importance</v>
      </c>
      <c r="J207" s="185"/>
      <c r="K207" s="48" t="b">
        <v>0</v>
      </c>
      <c r="L207" s="1"/>
    </row>
    <row r="208" spans="1:12" s="29" customFormat="1" ht="28.5" x14ac:dyDescent="0.2">
      <c r="A208" s="19" t="str">
        <f>Infrastructure!$A$57</f>
        <v>FIDP-06</v>
      </c>
      <c r="B208" s="20" t="str">
        <f>VLOOKUP($A208,Infrastructure!$A$13:$E$74,2,0)&amp;""</f>
        <v>Is authority for firewall change approval documented? Please list approver names or titles in Additional Info.</v>
      </c>
      <c r="C208" s="45" t="str">
        <f>VLOOKUP($A208,Infrastructure!$A$13:$E$74,3,0)&amp;""</f>
        <v/>
      </c>
      <c r="D208" s="34" t="str">
        <f>IF(LEFT(VLOOKUP($A208,Infrastructure!$A$13:$E$74,5,0),21)='Auto Responses'!$A$32,'Auto Responses'!$A$33,VLOOKUP($A208,Infrastructure!$A$13:$E$74,4,0))&amp;""</f>
        <v/>
      </c>
      <c r="E208" s="330" t="str">
        <f>VLOOKUP($A208,Infrastructure!$A$13:$E$74,5,0)&amp;""</f>
        <v/>
      </c>
      <c r="F208" s="195"/>
      <c r="G208" s="30" t="str">
        <f>VLOOKUP($A208,Questions!$A$2:$X$333,21,0)&amp;""</f>
        <v>Yes</v>
      </c>
      <c r="H208" s="185"/>
      <c r="I208" s="45" t="str">
        <f>VLOOKUP($A208,Questions!$A$2:$X$333,23,0)&amp;""</f>
        <v>Standard Importance</v>
      </c>
      <c r="J208" s="185"/>
      <c r="K208" s="48" t="b">
        <v>0</v>
      </c>
      <c r="L208" s="1"/>
    </row>
    <row r="209" spans="1:12" s="29" customFormat="1" ht="15" x14ac:dyDescent="0.2">
      <c r="A209" s="19" t="str">
        <f>Infrastructure!$A$58</f>
        <v>FIDP-07</v>
      </c>
      <c r="B209" s="20" t="str">
        <f>VLOOKUP($A209,Infrastructure!$A$13:$E$74,2,0)&amp;""</f>
        <v>Have you implemented an intrusion prevention system (network-based)?</v>
      </c>
      <c r="C209" s="45" t="str">
        <f>VLOOKUP($A209,Infrastructure!$A$13:$E$74,3,0)&amp;""</f>
        <v/>
      </c>
      <c r="D209" s="34" t="str">
        <f>IF(LEFT(VLOOKUP($A209,Infrastructure!$A$13:$E$74,5,0),21)='Auto Responses'!$A$32,'Auto Responses'!$A$33,VLOOKUP($A209,Infrastructure!$A$13:$E$74,4,0))&amp;""</f>
        <v/>
      </c>
      <c r="E209" s="330" t="str">
        <f>VLOOKUP($A209,Infrastructure!$A$13:$E$74,5,0)&amp;""</f>
        <v/>
      </c>
      <c r="F209" s="195"/>
      <c r="G209" s="30" t="str">
        <f>VLOOKUP($A209,Questions!$A$2:$X$333,21,0)&amp;""</f>
        <v>Yes</v>
      </c>
      <c r="H209" s="185"/>
      <c r="I209" s="45" t="str">
        <f>VLOOKUP($A209,Questions!$A$2:$X$333,23,0)&amp;""</f>
        <v>Standard Importance</v>
      </c>
      <c r="J209" s="185"/>
      <c r="K209" s="48" t="b">
        <v>0</v>
      </c>
      <c r="L209" s="1"/>
    </row>
    <row r="210" spans="1:12" s="29" customFormat="1" ht="15" x14ac:dyDescent="0.2">
      <c r="A210" s="19" t="str">
        <f>Infrastructure!$A$59</f>
        <v>FIDP-08</v>
      </c>
      <c r="B210" s="20" t="str">
        <f>VLOOKUP($A210,Infrastructure!$A$13:$E$74,2,0)&amp;""</f>
        <v>Do you employ host-based intrusion prevention?</v>
      </c>
      <c r="C210" s="45" t="str">
        <f>VLOOKUP($A210,Infrastructure!$A$13:$E$74,3,0)&amp;""</f>
        <v/>
      </c>
      <c r="D210" s="34" t="str">
        <f>IF(LEFT(VLOOKUP($A210,Infrastructure!$A$13:$E$74,5,0),21)='Auto Responses'!$A$32,'Auto Responses'!$A$33,VLOOKUP($A210,Infrastructure!$A$13:$E$74,4,0))&amp;""</f>
        <v/>
      </c>
      <c r="E210" s="330" t="str">
        <f>VLOOKUP($A210,Infrastructure!$A$13:$E$74,5,0)&amp;""</f>
        <v/>
      </c>
      <c r="F210" s="195"/>
      <c r="G210" s="30" t="str">
        <f>VLOOKUP($A210,Questions!$A$2:$X$333,21,0)&amp;""</f>
        <v>Yes</v>
      </c>
      <c r="H210" s="185"/>
      <c r="I210" s="45" t="str">
        <f>VLOOKUP($A210,Questions!$A$2:$X$333,23,0)&amp;""</f>
        <v>Standard Importance</v>
      </c>
      <c r="J210" s="185"/>
      <c r="K210" s="48" t="b">
        <v>0</v>
      </c>
      <c r="L210" s="1"/>
    </row>
    <row r="211" spans="1:12" s="29" customFormat="1" ht="28.5" x14ac:dyDescent="0.2">
      <c r="A211" s="19" t="str">
        <f>Infrastructure!$A$60</f>
        <v>FIDP-09</v>
      </c>
      <c r="B211" s="20" t="str">
        <f>VLOOKUP($A211,Infrastructure!$A$13:$E$74,2,0)&amp;""</f>
        <v>Are you employing any next-generation persistent threat (NGPT) monitoring?</v>
      </c>
      <c r="C211" s="45" t="str">
        <f>VLOOKUP($A211,Infrastructure!$A$13:$E$74,3,0)&amp;""</f>
        <v/>
      </c>
      <c r="D211" s="34" t="str">
        <f>IF(LEFT(VLOOKUP($A211,Infrastructure!$A$13:$E$74,5,0),21)='Auto Responses'!$A$32,'Auto Responses'!$A$33,VLOOKUP($A211,Infrastructure!$A$13:$E$74,4,0))&amp;""</f>
        <v/>
      </c>
      <c r="E211" s="330" t="str">
        <f>VLOOKUP($A211,Infrastructure!$A$13:$E$74,5,0)&amp;""</f>
        <v/>
      </c>
      <c r="F211" s="195"/>
      <c r="G211" s="30" t="str">
        <f>VLOOKUP($A211,Questions!$A$2:$X$333,21,0)&amp;""</f>
        <v>Yes</v>
      </c>
      <c r="H211" s="185"/>
      <c r="I211" s="45" t="str">
        <f>VLOOKUP($A211,Questions!$A$2:$X$333,23,0)&amp;""</f>
        <v>Standard Importance</v>
      </c>
      <c r="J211" s="185"/>
      <c r="K211" s="48" t="b">
        <v>0</v>
      </c>
      <c r="L211" s="1"/>
    </row>
    <row r="212" spans="1:12" s="29" customFormat="1" ht="90" x14ac:dyDescent="0.2">
      <c r="A212" s="19" t="str">
        <f>Infrastructure!$A$61</f>
        <v>FIDP-10</v>
      </c>
      <c r="B212" s="20" t="str">
        <f>VLOOKUP($A212,Infrastructure!$A$13:$E$74,2,0)&amp;""</f>
        <v>Is intrusion monitoring performed internally or by a third-party service?</v>
      </c>
      <c r="C212" s="45" t="str">
        <f>VLOOKUP($A212,Infrastructure!$A$13:$E$74,3,0)&amp;""</f>
        <v/>
      </c>
      <c r="D212" s="34" t="str">
        <f>IF(LEFT(VLOOKUP($A212,Infrastructure!$A$13:$E$74,5,0),21)='Auto Responses'!$A$32,'Auto Responses'!$A$33,VLOOKUP($A212,Infrastructure!$A$13:$E$74,4,0))&amp;""</f>
        <v/>
      </c>
      <c r="E212" s="330" t="str">
        <f>VLOOKUP($A212,Infrastructure!$A$13:$E$74,5,0)&amp;""</f>
        <v>In addition to stating your intrusion monitoring strategy, provide a brief summary of its implementation.</v>
      </c>
      <c r="F212" s="195"/>
      <c r="G212" s="30" t="str">
        <f>VLOOKUP($A212,Questions!$A$2:$X$333,21,0)&amp;""</f>
        <v>Not scored</v>
      </c>
      <c r="H212" s="185"/>
      <c r="I212" s="45" t="str">
        <f>VLOOKUP($A212,Questions!$A$2:$X$333,23,0)&amp;""</f>
        <v/>
      </c>
      <c r="J212" s="185"/>
      <c r="K212" s="48" t="b">
        <v>0</v>
      </c>
      <c r="L212" s="1"/>
    </row>
    <row r="213" spans="1:12" s="29" customFormat="1" ht="15" x14ac:dyDescent="0.2">
      <c r="A213" s="19" t="str">
        <f>Infrastructure!$A$62</f>
        <v>FIDP-11</v>
      </c>
      <c r="B213" s="20" t="str">
        <f>VLOOKUP($A213,Infrastructure!$A$13:$E$74,2,0)&amp;""</f>
        <v>Do you monitor for intrusions on a 24 x 7 x 365 basis?</v>
      </c>
      <c r="C213" s="45" t="str">
        <f>VLOOKUP($A213,Infrastructure!$A$13:$E$74,3,0)&amp;""</f>
        <v/>
      </c>
      <c r="D213" s="34" t="str">
        <f>IF(LEFT(VLOOKUP($A213,Infrastructure!$A$13:$E$74,5,0),21)='Auto Responses'!$A$32,'Auto Responses'!$A$33,VLOOKUP($A213,Infrastructure!$A$13:$E$74,4,0))&amp;""</f>
        <v/>
      </c>
      <c r="E213" s="330" t="str">
        <f>VLOOKUP($A213,Infrastructure!$A$13:$E$74,5,0)&amp;""</f>
        <v/>
      </c>
      <c r="F213" s="195"/>
      <c r="G213" s="30" t="str">
        <f>VLOOKUP($A213,Questions!$A$2:$X$333,21,0)&amp;""</f>
        <v>Yes</v>
      </c>
      <c r="H213" s="185"/>
      <c r="I213" s="45" t="str">
        <f>VLOOKUP($A213,Questions!$A$2:$X$333,23,0)&amp;""</f>
        <v>Minor Importance</v>
      </c>
      <c r="J213" s="185"/>
      <c r="K213" s="48" t="b">
        <v>0</v>
      </c>
      <c r="L213" s="1"/>
    </row>
    <row r="214" spans="1:12" s="1" customFormat="1" ht="18" x14ac:dyDescent="0.2">
      <c r="A214" s="63" t="str">
        <f>VLOOKUP(LEFT($A215,4),'Auto Responses'!$N$4:$O$38,2,0)&amp;""</f>
        <v xml:space="preserve"> Incident Handling</v>
      </c>
      <c r="B214" s="22"/>
      <c r="C214" s="31"/>
      <c r="D214" s="31"/>
      <c r="E214" s="331"/>
      <c r="F214" s="131" t="s">
        <v>1030</v>
      </c>
      <c r="G214" s="335" t="s">
        <v>869</v>
      </c>
      <c r="H214" s="335" t="s">
        <v>871</v>
      </c>
      <c r="I214" s="335" t="s">
        <v>19</v>
      </c>
      <c r="J214" s="335" t="s">
        <v>856</v>
      </c>
      <c r="K214" s="335" t="s">
        <v>867</v>
      </c>
    </row>
    <row r="215" spans="1:12" s="29" customFormat="1" ht="15" x14ac:dyDescent="0.2">
      <c r="A215" s="19" t="str">
        <f>Infrastructure!$A$64</f>
        <v>HFIH-01</v>
      </c>
      <c r="B215" s="20" t="str">
        <f>VLOOKUP($A215,Infrastructure!$A$13:$E$74,2,0)&amp;""</f>
        <v>Do you have a formal incident response plan?</v>
      </c>
      <c r="C215" s="45" t="str">
        <f>VLOOKUP($A215,Infrastructure!$A$13:$E$74,3,0)&amp;""</f>
        <v/>
      </c>
      <c r="D215" s="34" t="str">
        <f>IF(LEFT(VLOOKUP($A215,Infrastructure!$A$13:$E$74,5,0),21)='Auto Responses'!$A$32,'Auto Responses'!$A$33,VLOOKUP($A215,Infrastructure!$A$13:$E$74,4,0))&amp;""</f>
        <v/>
      </c>
      <c r="E215" s="330" t="str">
        <f>VLOOKUP($A215,Infrastructure!$A$13:$E$74,5,0)&amp;""</f>
        <v/>
      </c>
      <c r="F215" s="195"/>
      <c r="G215" s="30" t="str">
        <f>VLOOKUP($A215,Questions!$A$2:$X$333,21,0)&amp;""</f>
        <v>Yes</v>
      </c>
      <c r="H215" s="185"/>
      <c r="I215" s="45" t="str">
        <f>VLOOKUP($A215,Questions!$A$2:$X$333,23,0)&amp;""</f>
        <v>Standard Importance</v>
      </c>
      <c r="J215" s="185"/>
      <c r="K215" s="48" t="b">
        <v>0</v>
      </c>
      <c r="L215" s="1"/>
    </row>
    <row r="216" spans="1:12" s="29" customFormat="1" ht="28.5" x14ac:dyDescent="0.2">
      <c r="A216" s="19" t="str">
        <f>Infrastructure!$A$65</f>
        <v>HFIH-02</v>
      </c>
      <c r="B216" s="20" t="str">
        <f>VLOOKUP($A216,Infrastructure!$A$13:$E$74,2,0)&amp;""</f>
        <v>Do you either have an internal incident response team or retain an external team?</v>
      </c>
      <c r="C216" s="45" t="str">
        <f>VLOOKUP($A216,Infrastructure!$A$13:$E$74,3,0)&amp;""</f>
        <v/>
      </c>
      <c r="D216" s="34" t="str">
        <f>IF(LEFT(VLOOKUP($A216,Infrastructure!$A$13:$E$74,5,0),21)='Auto Responses'!$A$32,'Auto Responses'!$A$33,VLOOKUP($A216,Infrastructure!$A$13:$E$74,4,0))&amp;""</f>
        <v/>
      </c>
      <c r="E216" s="330" t="str">
        <f>VLOOKUP($A216,Infrastructure!$A$13:$E$74,5,0)&amp;""</f>
        <v/>
      </c>
      <c r="F216" s="195"/>
      <c r="G216" s="30" t="str">
        <f>VLOOKUP($A216,Questions!$A$2:$X$333,21,0)&amp;""</f>
        <v>Yes</v>
      </c>
      <c r="H216" s="185"/>
      <c r="I216" s="45" t="str">
        <f>VLOOKUP($A216,Questions!$A$2:$X$333,23,0)&amp;""</f>
        <v>Minor Importance</v>
      </c>
      <c r="J216" s="185"/>
      <c r="K216" s="48" t="b">
        <v>0</v>
      </c>
      <c r="L216" s="1"/>
    </row>
    <row r="217" spans="1:12" s="29" customFormat="1" ht="28.5" x14ac:dyDescent="0.2">
      <c r="A217" s="19" t="str">
        <f>Infrastructure!$A$66</f>
        <v>HFIH-03</v>
      </c>
      <c r="B217" s="20" t="str">
        <f>VLOOKUP($A217,Infrastructure!$A$13:$E$74,2,0)&amp;""</f>
        <v>Do you have the capability to respond to incidents on a 24 x 7 x 365 basis?</v>
      </c>
      <c r="C217" s="45" t="str">
        <f>VLOOKUP($A217,Infrastructure!$A$13:$E$74,3,0)&amp;""</f>
        <v/>
      </c>
      <c r="D217" s="34" t="str">
        <f>IF(LEFT(VLOOKUP($A217,Infrastructure!$A$13:$E$74,5,0),21)='Auto Responses'!$A$32,'Auto Responses'!$A$33,VLOOKUP($A217,Infrastructure!$A$13:$E$74,4,0))&amp;""</f>
        <v/>
      </c>
      <c r="E217" s="330" t="str">
        <f>VLOOKUP($A217,Infrastructure!$A$13:$E$74,5,0)&amp;""</f>
        <v/>
      </c>
      <c r="F217" s="195"/>
      <c r="G217" s="30" t="str">
        <f>VLOOKUP($A217,Questions!$A$2:$X$333,21,0)&amp;""</f>
        <v>Yes</v>
      </c>
      <c r="H217" s="185"/>
      <c r="I217" s="45" t="str">
        <f>VLOOKUP($A217,Questions!$A$2:$X$333,23,0)&amp;""</f>
        <v>Minor Importance</v>
      </c>
      <c r="J217" s="185"/>
      <c r="K217" s="48" t="b">
        <v>0</v>
      </c>
      <c r="L217" s="1"/>
    </row>
    <row r="218" spans="1:12" s="29" customFormat="1" ht="28.5" x14ac:dyDescent="0.2">
      <c r="A218" s="19" t="str">
        <f>Infrastructure!$A$67</f>
        <v>HFIH-04</v>
      </c>
      <c r="B218" s="20" t="str">
        <f>VLOOKUP($A218,Infrastructure!$A$13:$E$74,2,0)&amp;""</f>
        <v>Do you carry cyber-risk insurance to protect against unforeseen service outages, data that is lost or stolen, and security incidents?</v>
      </c>
      <c r="C218" s="45" t="str">
        <f>VLOOKUP($A218,Infrastructure!$A$13:$E$74,3,0)&amp;""</f>
        <v/>
      </c>
      <c r="D218" s="34" t="str">
        <f>IF(LEFT(VLOOKUP($A218,Infrastructure!$A$13:$E$74,5,0),21)='Auto Responses'!$A$32,'Auto Responses'!$A$33,VLOOKUP($A218,Infrastructure!$A$13:$E$74,4,0))&amp;""</f>
        <v/>
      </c>
      <c r="E218" s="330" t="str">
        <f>VLOOKUP($A218,Infrastructure!$A$13:$E$74,5,0)&amp;""</f>
        <v/>
      </c>
      <c r="F218" s="195"/>
      <c r="G218" s="30" t="str">
        <f>VLOOKUP($A218,Questions!$A$2:$X$333,21,0)&amp;""</f>
        <v>Yes</v>
      </c>
      <c r="H218" s="185"/>
      <c r="I218" s="45" t="str">
        <f>VLOOKUP($A218,Questions!$A$2:$X$333,23,0)&amp;""</f>
        <v>Minor Importance</v>
      </c>
      <c r="J218" s="185"/>
      <c r="K218" s="48" t="b">
        <v>0</v>
      </c>
      <c r="L218" s="1"/>
    </row>
    <row r="219" spans="1:12" s="1" customFormat="1" ht="18" x14ac:dyDescent="0.2">
      <c r="A219" s="63" t="str">
        <f>VLOOKUP(LEFT($A220,4),'Auto Responses'!$N$4:$O$38,2,0)&amp;""</f>
        <v xml:space="preserve"> Vulnerability Management</v>
      </c>
      <c r="B219" s="22"/>
      <c r="C219" s="31"/>
      <c r="D219" s="31"/>
      <c r="E219" s="331"/>
      <c r="F219" s="131" t="s">
        <v>1030</v>
      </c>
      <c r="G219" s="335" t="s">
        <v>869</v>
      </c>
      <c r="H219" s="335" t="s">
        <v>871</v>
      </c>
      <c r="I219" s="335" t="s">
        <v>19</v>
      </c>
      <c r="J219" s="335" t="s">
        <v>856</v>
      </c>
      <c r="K219" s="335" t="s">
        <v>867</v>
      </c>
    </row>
    <row r="220" spans="1:12" s="29" customFormat="1" ht="28.5" x14ac:dyDescent="0.2">
      <c r="A220" s="19" t="str">
        <f>Infrastructure!$A$69</f>
        <v>VULN-01</v>
      </c>
      <c r="B220" s="20" t="str">
        <f>VLOOKUP($A220,Infrastructure!$A$13:$E$74,2,0)&amp;""</f>
        <v>Are your systems and applications scanned with an authenticated user account for vulnerabilities (that are remediated) prior to new releases?*</v>
      </c>
      <c r="C220" s="45" t="str">
        <f>VLOOKUP($A220,Infrastructure!$A$13:$E$74,3,0)&amp;""</f>
        <v/>
      </c>
      <c r="D220" s="34" t="str">
        <f>IF(LEFT(VLOOKUP($A220,Infrastructure!$A$13:$E$74,5,0),21)='Auto Responses'!$A$32,'Auto Responses'!$A$33,VLOOKUP($A220,Infrastructure!$A$13:$E$74,4,0))&amp;""</f>
        <v/>
      </c>
      <c r="E220" s="330" t="str">
        <f>VLOOKUP($A220,Infrastructure!$A$13:$E$74,5,0)&amp;""</f>
        <v/>
      </c>
      <c r="F220" s="195"/>
      <c r="G220" s="30" t="str">
        <f>VLOOKUP($A220,Questions!$A$2:$X$333,21,0)&amp;""</f>
        <v>Yes</v>
      </c>
      <c r="H220" s="185"/>
      <c r="I220" s="45" t="str">
        <f>VLOOKUP($A220,Questions!$A$2:$X$333,23,0)&amp;""</f>
        <v>Critical Importance</v>
      </c>
      <c r="J220" s="185"/>
      <c r="K220" s="48" t="b">
        <v>0</v>
      </c>
      <c r="L220" s="1"/>
    </row>
    <row r="221" spans="1:12" s="29" customFormat="1" ht="28.5" x14ac:dyDescent="0.2">
      <c r="A221" s="19" t="str">
        <f>Infrastructure!$A$70</f>
        <v>VULN-02</v>
      </c>
      <c r="B221" s="20" t="str">
        <f>VLOOKUP($A221,Infrastructure!$A$13:$E$74,2,0)&amp;""</f>
        <v>Will you provide results of application and system vulnerability scans to the institution?*</v>
      </c>
      <c r="C221" s="45" t="str">
        <f>VLOOKUP($A221,Infrastructure!$A$13:$E$74,3,0)&amp;""</f>
        <v/>
      </c>
      <c r="D221" s="34" t="str">
        <f>IF(LEFT(VLOOKUP($A221,Infrastructure!$A$13:$E$74,5,0),21)='Auto Responses'!$A$32,'Auto Responses'!$A$33,VLOOKUP($A221,Infrastructure!$A$13:$E$74,4,0))&amp;""</f>
        <v/>
      </c>
      <c r="E221" s="330" t="str">
        <f>VLOOKUP($A221,Infrastructure!$A$13:$E$74,5,0)&amp;""</f>
        <v/>
      </c>
      <c r="F221" s="195"/>
      <c r="G221" s="30" t="str">
        <f>VLOOKUP($A221,Questions!$A$2:$X$333,21,0)&amp;""</f>
        <v>Yes</v>
      </c>
      <c r="H221" s="185"/>
      <c r="I221" s="45" t="str">
        <f>VLOOKUP($A221,Questions!$A$2:$X$333,23,0)&amp;""</f>
        <v>Critical Importance</v>
      </c>
      <c r="J221" s="185"/>
      <c r="K221" s="48" t="b">
        <v>0</v>
      </c>
      <c r="L221" s="1"/>
    </row>
    <row r="222" spans="1:12" s="29" customFormat="1" ht="42.75" x14ac:dyDescent="0.2">
      <c r="A222" s="19" t="str">
        <f>Infrastructure!$A$71</f>
        <v>VULN-03</v>
      </c>
      <c r="B222" s="20" t="str">
        <f>VLOOKUP($A222,Infrastructure!$A$13:$E$74,2,0)&amp;""</f>
        <v>Will you allow the institution to perform its own vulnerability testing and/or scanning of your systems and/or application, provided that testing is performed at a mutually agreed upon time and date?*</v>
      </c>
      <c r="C222" s="45" t="str">
        <f>VLOOKUP($A222,Infrastructure!$A$13:$E$74,3,0)&amp;""</f>
        <v/>
      </c>
      <c r="D222" s="34" t="str">
        <f>IF(LEFT(VLOOKUP($A222,Infrastructure!$A$13:$E$74,5,0),21)='Auto Responses'!$A$32,'Auto Responses'!$A$33,VLOOKUP($A222,Infrastructure!$A$13:$E$74,4,0))&amp;""</f>
        <v/>
      </c>
      <c r="E222" s="330" t="str">
        <f>VLOOKUP($A222,Infrastructure!$A$13:$E$74,5,0)&amp;""</f>
        <v/>
      </c>
      <c r="F222" s="195"/>
      <c r="G222" s="30" t="str">
        <f>VLOOKUP($A222,Questions!$A$2:$X$333,21,0)&amp;""</f>
        <v>Yes</v>
      </c>
      <c r="H222" s="185"/>
      <c r="I222" s="45" t="str">
        <f>VLOOKUP($A222,Questions!$A$2:$X$333,23,0)&amp;""</f>
        <v>Critical Importance</v>
      </c>
      <c r="J222" s="185"/>
      <c r="K222" s="48" t="b">
        <v>0</v>
      </c>
      <c r="L222" s="1"/>
    </row>
    <row r="223" spans="1:12" s="29" customFormat="1" ht="28.5" x14ac:dyDescent="0.2">
      <c r="A223" s="19" t="str">
        <f>Infrastructure!$A$72</f>
        <v>VULN-04</v>
      </c>
      <c r="B223" s="20" t="str">
        <f>VLOOKUP($A223,Infrastructure!$A$13:$E$74,2,0)&amp;""</f>
        <v>Have your systems and applications had a third-party security assessment completed in the last year?</v>
      </c>
      <c r="C223" s="45" t="str">
        <f>VLOOKUP($A223,Infrastructure!$A$13:$E$74,3,0)&amp;""</f>
        <v/>
      </c>
      <c r="D223" s="34" t="str">
        <f>IF(LEFT(VLOOKUP($A223,Infrastructure!$A$13:$E$74,5,0),21)='Auto Responses'!$A$32,'Auto Responses'!$A$33,VLOOKUP($A223,Infrastructure!$A$13:$E$74,4,0))&amp;""</f>
        <v/>
      </c>
      <c r="E223" s="330" t="str">
        <f>VLOOKUP($A223,Infrastructure!$A$13:$E$74,5,0)&amp;""</f>
        <v/>
      </c>
      <c r="F223" s="195"/>
      <c r="G223" s="30" t="str">
        <f>VLOOKUP($A223,Questions!$A$2:$X$333,21,0)&amp;""</f>
        <v>Yes</v>
      </c>
      <c r="H223" s="185"/>
      <c r="I223" s="45" t="str">
        <f>VLOOKUP($A223,Questions!$A$2:$X$333,23,0)&amp;""</f>
        <v>Standard Importance</v>
      </c>
      <c r="J223" s="185"/>
      <c r="K223" s="48" t="b">
        <v>0</v>
      </c>
      <c r="L223" s="1"/>
    </row>
    <row r="224" spans="1:12" s="29" customFormat="1" ht="60" x14ac:dyDescent="0.2">
      <c r="A224" s="19" t="str">
        <f>Infrastructure!$A$73</f>
        <v>VULN-05</v>
      </c>
      <c r="B224" s="20" t="str">
        <f>VLOOKUP($A224,Infrastructure!$A$13:$E$74,2,0)&amp;""</f>
        <v>Do you regularly scan for common web application security vulnerabilities (e.g., SQL injection, XSS, XSRF, etc.)?</v>
      </c>
      <c r="C224" s="45" t="str">
        <f>VLOOKUP($A224,Infrastructure!$A$13:$E$74,3,0)&amp;""</f>
        <v/>
      </c>
      <c r="D224" s="34" t="str">
        <f>IF(LEFT(VLOOKUP($A224,Infrastructure!$A$13:$E$74,5,0),21)='Auto Responses'!$A$32,'Auto Responses'!$A$33,VLOOKUP($A224,Infrastructure!$A$13:$E$74,4,0))&amp;""</f>
        <v/>
      </c>
      <c r="E224" s="330" t="str">
        <f>VLOOKUP($A224,Infrastructure!$A$13:$E$74,5,0)&amp;""</f>
        <v>Ensure that all elements of VULN-05 are clearly stated in your response.</v>
      </c>
      <c r="F224" s="195"/>
      <c r="G224" s="30" t="str">
        <f>VLOOKUP($A224,Questions!$A$2:$X$333,21,0)&amp;""</f>
        <v>Yes</v>
      </c>
      <c r="H224" s="185"/>
      <c r="I224" s="45" t="str">
        <f>VLOOKUP($A224,Questions!$A$2:$X$333,23,0)&amp;""</f>
        <v>Standard Importance</v>
      </c>
      <c r="J224" s="185"/>
      <c r="K224" s="48" t="b">
        <v>0</v>
      </c>
      <c r="L224" s="1"/>
    </row>
    <row r="225" spans="1:12" s="29" customFormat="1" ht="29.25" thickBot="1" x14ac:dyDescent="0.25">
      <c r="A225" s="19" t="str">
        <f>Infrastructure!$A$74</f>
        <v>VULN-06</v>
      </c>
      <c r="B225" s="20" t="str">
        <f>VLOOKUP($A225,Infrastructure!$A$13:$E$74,2,0)&amp;""</f>
        <v>Are your systems and applications regularly scanned externally for vulnerabilities?</v>
      </c>
      <c r="C225" s="45" t="str">
        <f>VLOOKUP($A225,Infrastructure!$A$13:$E$74,3,0)&amp;""</f>
        <v/>
      </c>
      <c r="D225" s="34" t="str">
        <f>IF(LEFT(VLOOKUP($A225,Infrastructure!$A$13:$E$74,5,0),21)='Auto Responses'!$A$32,'Auto Responses'!$A$33,VLOOKUP($A225,Infrastructure!$A$13:$E$74,4,0))&amp;""</f>
        <v/>
      </c>
      <c r="E225" s="330" t="str">
        <f>VLOOKUP($A225,Infrastructure!$A$13:$E$74,5,0)&amp;""</f>
        <v/>
      </c>
      <c r="F225" s="195"/>
      <c r="G225" s="30" t="str">
        <f>VLOOKUP($A225,Questions!$A$2:$X$333,21,0)&amp;""</f>
        <v>Yes</v>
      </c>
      <c r="H225" s="185"/>
      <c r="I225" s="45" t="str">
        <f>VLOOKUP($A225,Questions!$A$2:$X$333,23,0)&amp;""</f>
        <v>Minor Importance</v>
      </c>
      <c r="J225" s="185"/>
      <c r="K225" s="49" t="b">
        <v>0</v>
      </c>
      <c r="L225" s="1"/>
    </row>
    <row r="226" spans="1:12" s="1" customFormat="1" ht="18" x14ac:dyDescent="0.2">
      <c r="A226" s="63" t="str">
        <f>VLOOKUP(LEFT($A227,4),'Auto Responses'!$N$4:$O$38,2,0)&amp;""</f>
        <v xml:space="preserve"> IT Accessibility</v>
      </c>
      <c r="B226" s="22"/>
      <c r="C226" s="31"/>
      <c r="D226" s="31"/>
      <c r="E226" s="331"/>
      <c r="F226" s="131" t="s">
        <v>1030</v>
      </c>
      <c r="G226" s="335" t="s">
        <v>869</v>
      </c>
      <c r="H226" s="335" t="s">
        <v>871</v>
      </c>
      <c r="I226" s="335" t="s">
        <v>19</v>
      </c>
      <c r="J226" s="335" t="s">
        <v>856</v>
      </c>
      <c r="K226" s="335" t="s">
        <v>867</v>
      </c>
    </row>
    <row r="227" spans="1:12" s="29" customFormat="1" ht="15" x14ac:dyDescent="0.2">
      <c r="A227" s="19" t="str">
        <f>'IT Accessibility'!$A$20</f>
        <v>ITAC-01</v>
      </c>
      <c r="B227" s="20" t="str">
        <f>VLOOKUP($A227,'IT Accessibility'!$A$13:$E$37,2,0)&amp;""</f>
        <v>Solution Provider Accessibility Contact Name</v>
      </c>
      <c r="C227" s="305" t="str">
        <f>VLOOKUP($A227,'IT Accessibility'!$A$13:$E$37,3,0)&amp;""</f>
        <v/>
      </c>
      <c r="D227" s="306" t="str">
        <f>IF(LEFT(VLOOKUP($A227,'IT Accessibility'!$A$13:$E$37,5,0),21)='Auto Responses'!$A$32,'Auto Responses'!$A$33,VLOOKUP($A227,'IT Accessibility'!$A$13:$E$37,4,0))&amp;""</f>
        <v/>
      </c>
      <c r="E227" s="333" t="str">
        <f>VLOOKUP($A227,'IT Accessibility'!$A$13:$E$37,5,0)&amp;""</f>
        <v/>
      </c>
      <c r="F227" s="195"/>
      <c r="G227" s="30" t="str">
        <f>VLOOKUP($A227,Questions!$A$2:$X$333,21,0)&amp;""</f>
        <v>Not scored</v>
      </c>
      <c r="H227" s="185"/>
      <c r="I227" s="45" t="str">
        <f>VLOOKUP($A227,Questions!$A$2:$X$333,23,0)&amp;""</f>
        <v/>
      </c>
      <c r="J227" s="185"/>
      <c r="K227" s="48" t="b">
        <v>0</v>
      </c>
      <c r="L227" s="1"/>
    </row>
    <row r="228" spans="1:12" s="29" customFormat="1" ht="15" x14ac:dyDescent="0.2">
      <c r="A228" s="19" t="str">
        <f>'IT Accessibility'!$A$21</f>
        <v>ITAC-02</v>
      </c>
      <c r="B228" s="20" t="str">
        <f>VLOOKUP($A228,'IT Accessibility'!$A$13:$E$37,2,0)&amp;""</f>
        <v>Solution Provider Accessibility Contact Title</v>
      </c>
      <c r="C228" s="305" t="str">
        <f>VLOOKUP($A228,'IT Accessibility'!$A$13:$E$37,3,0)&amp;""</f>
        <v/>
      </c>
      <c r="D228" s="306" t="str">
        <f>IF(LEFT(VLOOKUP($A228,'IT Accessibility'!$A$13:$E$37,5,0),21)='Auto Responses'!$A$32,'Auto Responses'!$A$33,VLOOKUP($A228,'IT Accessibility'!$A$13:$E$37,4,0))&amp;""</f>
        <v/>
      </c>
      <c r="E228" s="333" t="str">
        <f>VLOOKUP($A228,'IT Accessibility'!$A$13:$E$37,5,0)&amp;""</f>
        <v/>
      </c>
      <c r="F228" s="195"/>
      <c r="G228" s="30" t="str">
        <f>VLOOKUP($A228,Questions!$A$2:$X$333,21,0)&amp;""</f>
        <v>Not scored</v>
      </c>
      <c r="H228" s="185"/>
      <c r="I228" s="45" t="str">
        <f>VLOOKUP($A228,Questions!$A$2:$X$333,23,0)&amp;""</f>
        <v/>
      </c>
      <c r="J228" s="185"/>
      <c r="K228" s="48" t="b">
        <v>0</v>
      </c>
      <c r="L228" s="1"/>
    </row>
    <row r="229" spans="1:12" s="29" customFormat="1" ht="15" x14ac:dyDescent="0.2">
      <c r="A229" s="19" t="str">
        <f>'IT Accessibility'!$A$22</f>
        <v>ITAC-03</v>
      </c>
      <c r="B229" s="20" t="str">
        <f>VLOOKUP($A229,'IT Accessibility'!$A$13:$E$37,2,0)&amp;""</f>
        <v>Solution Provider Accessibility Contact Email</v>
      </c>
      <c r="C229" s="305" t="str">
        <f>VLOOKUP($A229,'IT Accessibility'!$A$13:$E$37,3,0)&amp;""</f>
        <v/>
      </c>
      <c r="D229" s="306" t="str">
        <f>IF(LEFT(VLOOKUP($A229,'IT Accessibility'!$A$13:$E$37,5,0),21)='Auto Responses'!$A$32,'Auto Responses'!$A$33,VLOOKUP($A229,'IT Accessibility'!$A$13:$E$37,4,0))&amp;""</f>
        <v/>
      </c>
      <c r="E229" s="333" t="str">
        <f>VLOOKUP($A229,'IT Accessibility'!$A$13:$E$37,5,0)&amp;""</f>
        <v/>
      </c>
      <c r="F229" s="195"/>
      <c r="G229" s="30" t="str">
        <f>VLOOKUP($A229,Questions!$A$2:$X$333,21,0)&amp;""</f>
        <v>Not scored</v>
      </c>
      <c r="H229" s="185"/>
      <c r="I229" s="45" t="str">
        <f>VLOOKUP($A229,Questions!$A$2:$X$333,23,0)&amp;""</f>
        <v/>
      </c>
      <c r="J229" s="185"/>
      <c r="K229" s="48" t="b">
        <v>0</v>
      </c>
      <c r="L229" s="1"/>
    </row>
    <row r="230" spans="1:12" s="29" customFormat="1" ht="15" x14ac:dyDescent="0.2">
      <c r="A230" s="19" t="str">
        <f>'IT Accessibility'!$A$23</f>
        <v>ITAC-04</v>
      </c>
      <c r="B230" s="20" t="str">
        <f>VLOOKUP($A230,'IT Accessibility'!$A$13:$E$37,2,0)&amp;""</f>
        <v>Solution Provider Accessibility Contact Phone Number</v>
      </c>
      <c r="C230" s="305" t="str">
        <f>VLOOKUP($A230,'IT Accessibility'!$A$13:$E$37,3,0)&amp;""</f>
        <v/>
      </c>
      <c r="D230" s="306" t="str">
        <f>IF(LEFT(VLOOKUP($A230,'IT Accessibility'!$A$13:$E$37,5,0),21)='Auto Responses'!$A$32,'Auto Responses'!$A$33,VLOOKUP($A230,'IT Accessibility'!$A$13:$E$37,4,0))&amp;""</f>
        <v/>
      </c>
      <c r="E230" s="333" t="str">
        <f>VLOOKUP($A230,'IT Accessibility'!$A$13:$E$37,5,0)&amp;""</f>
        <v/>
      </c>
      <c r="F230" s="195"/>
      <c r="G230" s="30" t="str">
        <f>VLOOKUP($A230,Questions!$A$2:$X$333,21,0)&amp;""</f>
        <v>Not scored</v>
      </c>
      <c r="H230" s="185"/>
      <c r="I230" s="45" t="str">
        <f>VLOOKUP($A230,Questions!$A$2:$X$333,23,0)&amp;""</f>
        <v/>
      </c>
      <c r="J230" s="185"/>
      <c r="K230" s="48" t="b">
        <v>0</v>
      </c>
      <c r="L230" s="1"/>
    </row>
    <row r="231" spans="1:12" s="29" customFormat="1" ht="45" x14ac:dyDescent="0.2">
      <c r="A231" s="19" t="str">
        <f>'IT Accessibility'!$A$24</f>
        <v>ITAC-05</v>
      </c>
      <c r="B231" s="20" t="str">
        <f>VLOOKUP($A231,'IT Accessibility'!$A$13:$E$37,2,0)&amp;""</f>
        <v>Web Link to Accessibility Statement or VPAT</v>
      </c>
      <c r="C231" s="305" t="str">
        <f>VLOOKUP($A231,'IT Accessibility'!$A$13:$E$37,3,0)&amp;""</f>
        <v/>
      </c>
      <c r="D231" s="306" t="str">
        <f>IF(LEFT(VLOOKUP($A231,'IT Accessibility'!$A$13:$E$37,5,0),21)='Auto Responses'!$A$32,'Auto Responses'!$A$33,VLOOKUP($A231,'IT Accessibility'!$A$13:$E$37,4,0))&amp;""</f>
        <v/>
      </c>
      <c r="E231" s="333" t="str">
        <f>VLOOKUP($A231,'IT Accessibility'!$A$13:$E$37,5,0)&amp;""</f>
        <v>VPAT can also be added as an attachment</v>
      </c>
      <c r="F231" s="195"/>
      <c r="G231" s="30" t="str">
        <f>VLOOKUP($A231,Questions!$A$2:$X$333,21,0)&amp;""</f>
        <v>Not scored</v>
      </c>
      <c r="H231" s="185"/>
      <c r="I231" s="45" t="str">
        <f>VLOOKUP($A231,Questions!$A$2:$X$333,23,0)&amp;""</f>
        <v/>
      </c>
      <c r="J231" s="185"/>
      <c r="K231" s="48" t="b">
        <v>0</v>
      </c>
      <c r="L231" s="1"/>
    </row>
    <row r="232" spans="1:12" s="29" customFormat="1" ht="240" x14ac:dyDescent="0.2">
      <c r="A232" s="19" t="str">
        <f>'IT Accessibility'!$A$25</f>
        <v>ITAC-06</v>
      </c>
      <c r="B232" s="20" t="str">
        <f>VLOOKUP($A232,'IT Accessibility'!$A$13:$E$37,2,0)&amp;""</f>
        <v>Has a VPAT or ACR been created or updated for the solution and version under consideration within the past 12 months?*</v>
      </c>
      <c r="C232" s="45" t="str">
        <f>VLOOKUP($A232,'IT Accessibility'!$A$13:$E$37,3,0)&amp;""</f>
        <v/>
      </c>
      <c r="D232" s="34" t="str">
        <f>IF(LEFT(VLOOKUP($A232,'IT Accessibility'!$A$13:$E$37,5,0),21)='Auto Responses'!$A$32,'Auto Responses'!$A$33,VLOOKUP($A232,'IT Accessibility'!$A$13:$E$37,4,0))&amp;""</f>
        <v/>
      </c>
      <c r="E232" s="333" t="str">
        <f>VLOOKUP($A232,'IT Accessibility'!$A$13:$E$37,5,0)&amp;""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32" s="195"/>
      <c r="G232" s="30" t="str">
        <f>VLOOKUP($A232,Questions!$A$2:$X$333,21,0)&amp;""</f>
        <v>Yes</v>
      </c>
      <c r="H232" s="185"/>
      <c r="I232" s="45" t="str">
        <f>VLOOKUP($A232,Questions!$A$2:$X$333,23,0)&amp;""</f>
        <v>Critical Importance</v>
      </c>
      <c r="J232" s="185"/>
      <c r="K232" s="48" t="b">
        <v>0</v>
      </c>
      <c r="L232" s="1"/>
    </row>
    <row r="233" spans="1:12" s="29" customFormat="1" ht="28.5" x14ac:dyDescent="0.2">
      <c r="A233" s="19" t="str">
        <f>'IT Accessibility'!$A$26</f>
        <v>ITAC-07</v>
      </c>
      <c r="B233" s="20" t="str">
        <f>VLOOKUP($A233,'IT Accessibility'!$A$13:$E$37,2,0)&amp;""</f>
        <v>Will your company agree to meet your stated accessibility standard or WCAG 2.1 AA as part of your contractual agreement for the solution?*</v>
      </c>
      <c r="C233" s="45" t="str">
        <f>VLOOKUP($A233,'IT Accessibility'!$A$13:$E$37,3,0)&amp;""</f>
        <v/>
      </c>
      <c r="D233" s="34" t="str">
        <f>IF(LEFT(VLOOKUP($A233,'IT Accessibility'!$A$13:$E$37,5,0),21)='Auto Responses'!$A$32,'Auto Responses'!$A$33,VLOOKUP($A233,'IT Accessibility'!$A$13:$E$37,4,0))&amp;""</f>
        <v/>
      </c>
      <c r="E233" s="333" t="str">
        <f>VLOOKUP($A233,'IT Accessibility'!$A$13:$E$37,5,0)&amp;""</f>
        <v/>
      </c>
      <c r="F233" s="195"/>
      <c r="G233" s="30" t="str">
        <f>VLOOKUP($A233,Questions!$A$2:$X$333,21,0)&amp;""</f>
        <v>Yes</v>
      </c>
      <c r="H233" s="185"/>
      <c r="I233" s="45" t="str">
        <f>VLOOKUP($A233,Questions!$A$2:$X$333,23,0)&amp;""</f>
        <v>Critical Importance</v>
      </c>
      <c r="J233" s="185"/>
      <c r="K233" s="48" t="b">
        <v>0</v>
      </c>
      <c r="L233" s="1"/>
    </row>
    <row r="234" spans="1:12" s="29" customFormat="1" ht="300" x14ac:dyDescent="0.2">
      <c r="A234" s="19" t="str">
        <f>'IT Accessibility'!$A$27</f>
        <v>ITAC-08</v>
      </c>
      <c r="B234" s="20" t="str">
        <f>VLOOKUP($A234,'IT Accessibility'!$A$13:$E$37,2,0)&amp;""</f>
        <v>Does the solution substantially conform to WCAG 2.1 AA?*</v>
      </c>
      <c r="C234" s="45" t="str">
        <f>VLOOKUP($A234,'IT Accessibility'!$A$13:$E$37,3,0)&amp;""</f>
        <v/>
      </c>
      <c r="D234" s="34" t="str">
        <f>IF(LEFT(VLOOKUP($A234,'IT Accessibility'!$A$13:$E$37,5,0),21)='Auto Responses'!$A$32,'Auto Responses'!$A$33,VLOOKUP($A234,'IT Accessibility'!$A$13:$E$37,4,0))&amp;""</f>
        <v/>
      </c>
      <c r="E234" s="333"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195"/>
      <c r="G234" s="30" t="str">
        <f>VLOOKUP($A234,Questions!$A$2:$X$333,21,0)&amp;""</f>
        <v>Yes</v>
      </c>
      <c r="H234" s="185"/>
      <c r="I234" s="45" t="str">
        <f>VLOOKUP($A234,Questions!$A$2:$X$333,23,0)&amp;""</f>
        <v>Critical Importance</v>
      </c>
      <c r="J234" s="185"/>
      <c r="K234" s="48" t="b">
        <v>0</v>
      </c>
      <c r="L234" s="1"/>
    </row>
    <row r="235" spans="1:12" s="29" customFormat="1" ht="150" x14ac:dyDescent="0.2">
      <c r="A235" s="19" t="str">
        <f>'IT Accessibility'!$A$28</f>
        <v>ITAC-09</v>
      </c>
      <c r="B235" s="20" t="str">
        <f>VLOOKUP($A235,'IT Accessibility'!$A$13:$E$37,2,0)&amp;""</f>
        <v>Do you have a documented and implemented process for reporting and tracking accessibility issues?*</v>
      </c>
      <c r="C235" s="45" t="str">
        <f>VLOOKUP($A235,'IT Accessibility'!$A$13:$E$37,3,0)&amp;""</f>
        <v/>
      </c>
      <c r="D235" s="34" t="str">
        <f>IF(LEFT(VLOOKUP($A235,'IT Accessibility'!$A$13:$E$37,5,0),21)='Auto Responses'!$A$32,'Auto Responses'!$A$33,VLOOKUP($A235,'IT Accessibility'!$A$13:$E$37,4,0))&amp;""</f>
        <v/>
      </c>
      <c r="E235" s="333" t="str">
        <f>VLOOKUP($A235,'IT Accessibility'!$A$13:$E$37,5,0)&amp;""</f>
        <v xml:space="preserve">Reporting and fixing accessibility issues is critical to a mature process. If the process for this question is merely a "feature request" and tracker, the answer to this question should be "no." </v>
      </c>
      <c r="F235" s="195"/>
      <c r="G235" s="30" t="str">
        <f>VLOOKUP($A235,Questions!$A$2:$X$333,21,0)&amp;""</f>
        <v>Yes</v>
      </c>
      <c r="H235" s="185"/>
      <c r="I235" s="45" t="str">
        <f>VLOOKUP($A235,Questions!$A$2:$X$333,23,0)&amp;""</f>
        <v>Critical Importance</v>
      </c>
      <c r="J235" s="185"/>
      <c r="K235" s="48" t="b">
        <v>0</v>
      </c>
      <c r="L235" s="1"/>
    </row>
    <row r="236" spans="1:12" s="29" customFormat="1" ht="165" x14ac:dyDescent="0.2">
      <c r="A236" s="19" t="str">
        <f>'IT Accessibility'!$A$29</f>
        <v>ITAC-10</v>
      </c>
      <c r="B236" s="20" t="str">
        <f>VLOOKUP($A236,'IT Accessibility'!$A$13:$E$37,2,0)&amp;""</f>
        <v>Do you have documentation to support the accessibility features of your solution?</v>
      </c>
      <c r="C236" s="45" t="str">
        <f>VLOOKUP($A236,'IT Accessibility'!$A$13:$E$37,3,0)&amp;""</f>
        <v/>
      </c>
      <c r="D236" s="34" t="str">
        <f>IF(LEFT(VLOOKUP($A236,'IT Accessibility'!$A$13:$E$37,5,0),21)='Auto Responses'!$A$32,'Auto Responses'!$A$33,VLOOKUP($A236,'IT Accessibility'!$A$13:$E$37,4,0))&amp;""</f>
        <v/>
      </c>
      <c r="E236" s="333" t="str">
        <f>VLOOKUP($A236,'IT Accessibility'!$A$13:$E$37,5,0)&amp;""</f>
        <v>If specific configurations, settings, themes, author guides, or instructions are needed to ensure accessibility, are instructions on how to do so provided for administrators and end users?</v>
      </c>
      <c r="F236" s="195"/>
      <c r="G236" s="30" t="str">
        <f>VLOOKUP($A236,Questions!$A$2:$X$333,21,0)&amp;""</f>
        <v>Yes</v>
      </c>
      <c r="H236" s="185"/>
      <c r="I236" s="45" t="str">
        <f>VLOOKUP($A236,Questions!$A$2:$X$333,23,0)&amp;""</f>
        <v>Standard Importance</v>
      </c>
      <c r="J236" s="185"/>
      <c r="K236" s="48" t="b">
        <v>0</v>
      </c>
      <c r="L236" s="1"/>
    </row>
    <row r="237" spans="1:12" s="29" customFormat="1" ht="165" x14ac:dyDescent="0.2">
      <c r="A237" s="19" t="str">
        <f>'IT Accessibility'!$A$30</f>
        <v>ITAC-11</v>
      </c>
      <c r="B237" s="20" t="str">
        <f>VLOOKUP($A237,'IT Accessibility'!$A$13:$E$37,2,0)&amp;""</f>
        <v>Has a third-party expert conducted an audit of the most recent version of your solution?</v>
      </c>
      <c r="C237" s="45" t="str">
        <f>VLOOKUP($A237,'IT Accessibility'!$A$13:$E$37,3,0)&amp;""</f>
        <v/>
      </c>
      <c r="D237" s="34" t="str">
        <f>IF(LEFT(VLOOKUP($A237,'IT Accessibility'!$A$13:$E$37,5,0),21)='Auto Responses'!$A$32,'Auto Responses'!$A$33,VLOOKUP($A237,'IT Accessibility'!$A$13:$E$37,4,0))&amp;""</f>
        <v/>
      </c>
      <c r="E237" s="333" t="str">
        <f>VLOOKUP($A237,'IT Accessibility'!$A$13:$E$37,5,0)&amp;""</f>
        <v>Audit results, including VPAT/ACRs, are voluntary reports often generated by the creator of the product. Audits conducted and reports generated by expert third parties give greater confidence to customers.</v>
      </c>
      <c r="F237" s="195"/>
      <c r="G237" s="30" t="str">
        <f>VLOOKUP($A237,Questions!$A$2:$X$333,21,0)&amp;""</f>
        <v>Yes</v>
      </c>
      <c r="H237" s="185"/>
      <c r="I237" s="45" t="str">
        <f>VLOOKUP($A237,Questions!$A$2:$X$333,23,0)&amp;""</f>
        <v>Standard Importance</v>
      </c>
      <c r="J237" s="185"/>
      <c r="K237" s="48" t="b">
        <v>0</v>
      </c>
      <c r="L237" s="1"/>
    </row>
    <row r="238" spans="1:12" s="29" customFormat="1" ht="28.5" x14ac:dyDescent="0.2">
      <c r="A238" s="19" t="str">
        <f>'IT Accessibility'!$A$31</f>
        <v>ITAC-12</v>
      </c>
      <c r="B238" s="20" t="str">
        <f>VLOOKUP($A238,'IT Accessibility'!$A$13:$E$37,2,0)&amp;""</f>
        <v>Do you have a documented and implemented process for verifying accessibility conformance?</v>
      </c>
      <c r="C238" s="45" t="str">
        <f>VLOOKUP($A238,'IT Accessibility'!$A$13:$E$37,3,0)&amp;""</f>
        <v/>
      </c>
      <c r="D238" s="34" t="str">
        <f>IF(LEFT(VLOOKUP($A238,'IT Accessibility'!$A$13:$E$37,5,0),21)='Auto Responses'!$A$32,'Auto Responses'!$A$33,VLOOKUP($A238,'IT Accessibility'!$A$13:$E$37,4,0))&amp;""</f>
        <v/>
      </c>
      <c r="E238" s="333" t="str">
        <f>VLOOKUP($A238,'IT Accessibility'!$A$13:$E$37,5,0)&amp;""</f>
        <v/>
      </c>
      <c r="F238" s="195"/>
      <c r="G238" s="30" t="str">
        <f>VLOOKUP($A238,Questions!$A$2:$X$333,21,0)&amp;""</f>
        <v>Yes</v>
      </c>
      <c r="H238" s="185"/>
      <c r="I238" s="45" t="str">
        <f>VLOOKUP($A238,Questions!$A$2:$X$333,23,0)&amp;""</f>
        <v>Standard Importance</v>
      </c>
      <c r="J238" s="185"/>
      <c r="K238" s="48" t="b">
        <v>0</v>
      </c>
      <c r="L238" s="1"/>
    </row>
    <row r="239" spans="1:12" s="29" customFormat="1" ht="180" x14ac:dyDescent="0.2">
      <c r="A239" s="19" t="str">
        <f>'IT Accessibility'!$A$32</f>
        <v>ITAC-13</v>
      </c>
      <c r="B239" s="20" t="str">
        <f>VLOOKUP($A239,'IT Accessibility'!$A$13:$E$37,2,0)&amp;""</f>
        <v>Have you adopted a technical or legal standard of conformance for the solution?</v>
      </c>
      <c r="C239" s="45" t="str">
        <f>VLOOKUP($A239,'IT Accessibility'!$A$13:$E$37,3,0)&amp;""</f>
        <v/>
      </c>
      <c r="D239" s="34" t="str">
        <f>IF(LEFT(VLOOKUP($A239,'IT Accessibility'!$A$13:$E$37,5,0),21)='Auto Responses'!$A$32,'Auto Responses'!$A$33,VLOOKUP($A239,'IT Accessibility'!$A$13:$E$37,4,0))&amp;""</f>
        <v/>
      </c>
      <c r="E239" s="333" t="str">
        <f>VLOOKUP($A239,'IT Accessibility'!$A$13:$E$37,5,0)&amp;""</f>
        <v>Various federal and state governments in the United States and around the world have mandated accessibility technical requirements that should be considered and may be required when selling solutions to institutions in these jurisdictions.</v>
      </c>
      <c r="F239" s="195"/>
      <c r="G239" s="30" t="str">
        <f>VLOOKUP($A239,Questions!$A$2:$X$333,21,0)&amp;""</f>
        <v>Yes</v>
      </c>
      <c r="H239" s="185"/>
      <c r="I239" s="45" t="str">
        <f>VLOOKUP($A239,Questions!$A$2:$X$333,23,0)&amp;""</f>
        <v>Standard Importance</v>
      </c>
      <c r="J239" s="185"/>
      <c r="K239" s="48" t="b">
        <v>0</v>
      </c>
      <c r="L239" s="1"/>
    </row>
    <row r="240" spans="1:12" s="29" customFormat="1" ht="150" x14ac:dyDescent="0.2">
      <c r="A240" s="19" t="str">
        <f>'IT Accessibility'!$A$33</f>
        <v>ITAC-14</v>
      </c>
      <c r="B240" s="20" t="str">
        <f>VLOOKUP($A240,'IT Accessibility'!$A$13:$E$37,2,0)&amp;""</f>
        <v>Can you provide a current, detailed accessibility roadmap with delivery timelines?</v>
      </c>
      <c r="C240" s="45" t="str">
        <f>VLOOKUP($A240,'IT Accessibility'!$A$13:$E$37,3,0)&amp;""</f>
        <v/>
      </c>
      <c r="D240" s="34" t="str">
        <f>IF(LEFT(VLOOKUP($A240,'IT Accessibility'!$A$13:$E$37,5,0),21)='Auto Responses'!$A$32,'Auto Responses'!$A$33,VLOOKUP($A240,'IT Accessibility'!$A$13:$E$37,4,0))&amp;""</f>
        <v/>
      </c>
      <c r="E240" s="333" t="str">
        <f>VLOOKUP($A240,'IT Accessibility'!$A$13:$E$37,5,0)&amp;""</f>
        <v>A detailed accessibility roadmap should reference improvements and progress on known accessibility issues as appropriate but does not necessarily need to list unreleased product features.</v>
      </c>
      <c r="F240" s="195"/>
      <c r="G240" s="30" t="str">
        <f>VLOOKUP($A240,Questions!$A$2:$X$333,21,0)&amp;""</f>
        <v>Yes</v>
      </c>
      <c r="H240" s="185"/>
      <c r="I240" s="45" t="str">
        <f>VLOOKUP($A240,Questions!$A$2:$X$333,23,0)&amp;""</f>
        <v>Standard Importance</v>
      </c>
      <c r="J240" s="185"/>
      <c r="K240" s="48" t="b">
        <v>0</v>
      </c>
      <c r="L240" s="1"/>
    </row>
    <row r="241" spans="1:12" s="29" customFormat="1" ht="345" x14ac:dyDescent="0.2">
      <c r="A241" s="19" t="str">
        <f>'IT Accessibility'!$A$34</f>
        <v>ITAC-15</v>
      </c>
      <c r="B241" s="20" t="str">
        <f>VLOOKUP($A241,'IT Accessibility'!$A$13:$E$37,2,0)&amp;""</f>
        <v>Do you expect your staff to maintain a current skill set in IT accessibility?</v>
      </c>
      <c r="C241" s="45" t="str">
        <f>VLOOKUP($A241,'IT Accessibility'!$A$13:$E$37,3,0)&amp;""</f>
        <v/>
      </c>
      <c r="D241" s="34" t="str">
        <f>IF(LEFT(VLOOKUP($A241,'IT Accessibility'!$A$13:$E$37,5,0),21)='Auto Responses'!$A$32,'Auto Responses'!$A$33,VLOOKUP($A241,'IT Accessibility'!$A$13:$E$37,4,0))&amp;""</f>
        <v/>
      </c>
      <c r="E241" s="333" t="str">
        <f>VLOOKUP($A241,'IT Accessibility'!$A$13:$E$37,5,0)&amp;""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241" s="195"/>
      <c r="G241" s="30" t="str">
        <f>VLOOKUP($A241,Questions!$A$2:$X$333,21,0)&amp;""</f>
        <v>Yes</v>
      </c>
      <c r="H241" s="185"/>
      <c r="I241" s="45" t="str">
        <f>VLOOKUP($A241,Questions!$A$2:$X$333,23,0)&amp;""</f>
        <v>Standard Importance</v>
      </c>
      <c r="J241" s="185"/>
      <c r="K241" s="48" t="b">
        <v>0</v>
      </c>
      <c r="L241" s="1"/>
    </row>
    <row r="242" spans="1:12" s="29" customFormat="1" ht="405" x14ac:dyDescent="0.2">
      <c r="A242" s="19" t="str">
        <f>'IT Accessibility'!$A$35</f>
        <v>ITAC-16</v>
      </c>
      <c r="B242" s="20" t="str">
        <f>VLOOKUP($A242,'IT Accessibility'!$A$13:$E$37,2,0)&amp;""</f>
        <v>Do you have documented processes and procedures for implementing accessibility into your development lifecycle?</v>
      </c>
      <c r="C242" s="45" t="str">
        <f>VLOOKUP($A242,'IT Accessibility'!$A$13:$E$37,3,0)&amp;""</f>
        <v/>
      </c>
      <c r="D242" s="34" t="str">
        <f>IF(LEFT(VLOOKUP($A242,'IT Accessibility'!$A$13:$E$37,5,0),21)='Auto Responses'!$A$32,'Auto Responses'!$A$33,VLOOKUP($A242,'IT Accessibility'!$A$13:$E$37,4,0))&amp;""</f>
        <v/>
      </c>
      <c r="E242" s="333" t="str">
        <f>VLOOKUP($A242,'IT Accessibility'!$A$13:$E$37,5,0)&amp;""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242" s="195"/>
      <c r="G242" s="30" t="str">
        <f>VLOOKUP($A242,Questions!$A$2:$X$333,21,0)&amp;""</f>
        <v>Yes</v>
      </c>
      <c r="H242" s="185"/>
      <c r="I242" s="45" t="str">
        <f>VLOOKUP($A242,Questions!$A$2:$X$333,23,0)&amp;""</f>
        <v>Standard Importance</v>
      </c>
      <c r="J242" s="185"/>
      <c r="K242" s="48" t="b">
        <v>0</v>
      </c>
      <c r="L242" s="1"/>
    </row>
    <row r="243" spans="1:12" s="29" customFormat="1" ht="28.5" x14ac:dyDescent="0.2">
      <c r="A243" s="19" t="str">
        <f>'IT Accessibility'!$A$36</f>
        <v>ITAC-17</v>
      </c>
      <c r="B243" s="20" t="str">
        <f>VLOOKUP($A243,'IT Accessibility'!$A$13:$E$37,2,0)&amp;""</f>
        <v>Can all functions of the application or service be performed using only the keyboard?</v>
      </c>
      <c r="C243" s="45" t="str">
        <f>VLOOKUP($A243,'IT Accessibility'!$A$13:$E$37,3,0)&amp;""</f>
        <v/>
      </c>
      <c r="D243" s="34" t="str">
        <f>IF(LEFT(VLOOKUP($A243,'IT Accessibility'!$A$13:$E$37,5,0),21)='Auto Responses'!$A$32,'Auto Responses'!$A$33,VLOOKUP($A243,'IT Accessibility'!$A$13:$E$37,4,0))&amp;""</f>
        <v/>
      </c>
      <c r="E243" s="333" t="str">
        <f>VLOOKUP($A243,'IT Accessibility'!$A$13:$E$37,5,0)&amp;""</f>
        <v/>
      </c>
      <c r="F243" s="195"/>
      <c r="G243" s="30" t="str">
        <f>VLOOKUP($A243,Questions!$A$2:$X$333,21,0)&amp;""</f>
        <v>Yes</v>
      </c>
      <c r="H243" s="185"/>
      <c r="I243" s="45" t="str">
        <f>VLOOKUP($A243,Questions!$A$2:$X$333,23,0)&amp;""</f>
        <v>Standard Importance</v>
      </c>
      <c r="J243" s="185"/>
      <c r="K243" s="48" t="b">
        <v>0</v>
      </c>
      <c r="L243" s="1"/>
    </row>
    <row r="244" spans="1:12" s="29" customFormat="1" ht="255.75" thickBot="1" x14ac:dyDescent="0.25">
      <c r="A244" s="19" t="str">
        <f>'IT Accessibility'!$A$37</f>
        <v>ITAC-18</v>
      </c>
      <c r="B244" s="20" t="str">
        <f>VLOOKUP($A244,'IT Accessibility'!$A$13:$E$37,2,0)&amp;""</f>
        <v>Does your product rely on activating a special "accessibility mode," a "lite version," or using an alternate interface (including “overlay” or AI-based alternates)  for accessibility purposes?</v>
      </c>
      <c r="C244" s="45" t="str">
        <f>VLOOKUP($A244,'IT Accessibility'!$A$13:$E$37,3,0)&amp;""</f>
        <v/>
      </c>
      <c r="D244" s="34" t="str">
        <f>IF(LEFT(VLOOKUP($A244,'IT Accessibility'!$A$13:$E$37,5,0),21)='Auto Responses'!$A$32,'Auto Responses'!$A$33,VLOOKUP($A244,'IT Accessibility'!$A$13:$E$37,4,0))&amp;""</f>
        <v/>
      </c>
      <c r="E244" s="333"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195"/>
      <c r="G244" s="30" t="str">
        <f>VLOOKUP($A244,Questions!$A$2:$X$333,21,0)&amp;""</f>
        <v>No</v>
      </c>
      <c r="H244" s="185"/>
      <c r="I244" s="45" t="str">
        <f>VLOOKUP($A244,Questions!$A$2:$X$333,23,0)&amp;""</f>
        <v>Standard Importance</v>
      </c>
      <c r="J244" s="185"/>
      <c r="K244" s="49" t="b">
        <v>0</v>
      </c>
      <c r="L244" s="1"/>
    </row>
    <row r="245" spans="1:12" s="1" customFormat="1" ht="18" x14ac:dyDescent="0.2">
      <c r="A245" s="63" t="str">
        <f>VLOOKUP(LEFT($A246,4),'Auto Responses'!$N$4:$O$38,2,0)&amp;""</f>
        <v xml:space="preserve"> Consulting Services</v>
      </c>
      <c r="B245" s="22"/>
      <c r="C245" s="31"/>
      <c r="D245" s="31"/>
      <c r="E245" s="331"/>
      <c r="F245" s="131" t="s">
        <v>1030</v>
      </c>
      <c r="G245" s="335" t="s">
        <v>869</v>
      </c>
      <c r="H245" s="335" t="s">
        <v>871</v>
      </c>
      <c r="I245" s="335" t="s">
        <v>19</v>
      </c>
      <c r="J245" s="335" t="s">
        <v>856</v>
      </c>
      <c r="K245" s="335" t="s">
        <v>867</v>
      </c>
    </row>
    <row r="246" spans="1:12" s="29" customFormat="1" ht="15" x14ac:dyDescent="0.2">
      <c r="A246" s="19" t="str">
        <f>'Case-Specific'!$A$23</f>
        <v>CONS-01</v>
      </c>
      <c r="B246" s="20" t="str">
        <f>VLOOKUP($A246,'Case-Specific'!$A$13:$E$85,2,0)&amp;""</f>
        <v>Will the consultant require access to the institution's network resources?*</v>
      </c>
      <c r="C246" s="45" t="str">
        <f>VLOOKUP($A246,'Case-Specific'!$A$13:$E$85,3,0)&amp;""</f>
        <v/>
      </c>
      <c r="D246" s="34" t="str">
        <f>IF(LEFT(VLOOKUP($A246,'Case-Specific'!$A$13:$E$85,5,0),21)='Auto Responses'!$A$32,'Auto Responses'!$A$33,VLOOKUP($A246,'Case-Specific'!$A$13:$E$85,4,0))&amp;""</f>
        <v/>
      </c>
      <c r="E246" s="330" t="str">
        <f>VLOOKUP($A246,'Case-Specific'!$A$13:$E$85,5,0)&amp;""</f>
        <v/>
      </c>
      <c r="F246" s="195"/>
      <c r="G246" s="30" t="str">
        <f>VLOOKUP($A246,Questions!$A$2:$X$333,21,0)&amp;""</f>
        <v>No</v>
      </c>
      <c r="H246" s="185"/>
      <c r="I246" s="45" t="str">
        <f>VLOOKUP($A246,Questions!$A$2:$X$333,23,0)&amp;""</f>
        <v>Critical Importance</v>
      </c>
      <c r="J246" s="185"/>
      <c r="K246" s="48" t="b">
        <v>0</v>
      </c>
      <c r="L246" s="1"/>
    </row>
    <row r="247" spans="1:12" s="29" customFormat="1" ht="28.5" x14ac:dyDescent="0.2">
      <c r="A247" s="19" t="str">
        <f>'Case-Specific'!$A$24</f>
        <v>CONS-02</v>
      </c>
      <c r="B247" s="20" t="str">
        <f>VLOOKUP($A247,'Case-Specific'!$A$13:$E$85,2,0)&amp;""</f>
        <v>Has the consultant received training on (sensitive, HIPAA, PCI, etc.) data handling?*</v>
      </c>
      <c r="C247" s="45" t="str">
        <f>VLOOKUP($A247,'Case-Specific'!$A$13:$E$85,3,0)&amp;""</f>
        <v/>
      </c>
      <c r="D247" s="34" t="str">
        <f>IF(LEFT(VLOOKUP($A247,'Case-Specific'!$A$13:$E$85,5,0),21)='Auto Responses'!$A$32,'Auto Responses'!$A$33,VLOOKUP($A247,'Case-Specific'!$A$13:$E$85,4,0))&amp;""</f>
        <v/>
      </c>
      <c r="E247" s="330" t="str">
        <f>VLOOKUP($A247,'Case-Specific'!$A$13:$E$85,5,0)&amp;""</f>
        <v/>
      </c>
      <c r="F247" s="195"/>
      <c r="G247" s="30" t="str">
        <f>VLOOKUP($A247,Questions!$A$2:$X$333,21,0)&amp;""</f>
        <v>Yes</v>
      </c>
      <c r="H247" s="185"/>
      <c r="I247" s="45" t="str">
        <f>VLOOKUP($A247,Questions!$A$2:$X$333,23,0)&amp;""</f>
        <v>Critical Importance</v>
      </c>
      <c r="J247" s="185"/>
      <c r="K247" s="48" t="b">
        <v>0</v>
      </c>
      <c r="L247" s="1"/>
    </row>
    <row r="248" spans="1:12" s="29" customFormat="1" ht="15" x14ac:dyDescent="0.2">
      <c r="A248" s="19" t="str">
        <f>'Case-Specific'!$A$25</f>
        <v>CONS-03</v>
      </c>
      <c r="B248" s="20" t="str">
        <f>VLOOKUP($A248,'Case-Specific'!$A$13:$E$85,2,0)&amp;""</f>
        <v>Is the data encrypted (at rest) while in the consultant's possession?*</v>
      </c>
      <c r="C248" s="45" t="str">
        <f>VLOOKUP($A248,'Case-Specific'!$A$13:$E$85,3,0)&amp;""</f>
        <v/>
      </c>
      <c r="D248" s="34" t="str">
        <f>IF(LEFT(VLOOKUP($A248,'Case-Specific'!$A$13:$E$85,5,0),21)='Auto Responses'!$A$32,'Auto Responses'!$A$33,VLOOKUP($A248,'Case-Specific'!$A$13:$E$85,4,0))&amp;""</f>
        <v/>
      </c>
      <c r="E248" s="330" t="str">
        <f>VLOOKUP($A248,'Case-Specific'!$A$13:$E$85,5,0)&amp;""</f>
        <v/>
      </c>
      <c r="F248" s="195"/>
      <c r="G248" s="30" t="str">
        <f>VLOOKUP($A248,Questions!$A$2:$X$333,21,0)&amp;""</f>
        <v>Yes</v>
      </c>
      <c r="H248" s="185"/>
      <c r="I248" s="45" t="str">
        <f>VLOOKUP($A248,Questions!$A$2:$X$333,23,0)&amp;""</f>
        <v>Critical Importance</v>
      </c>
      <c r="J248" s="185"/>
      <c r="K248" s="48" t="b">
        <v>0</v>
      </c>
      <c r="L248" s="1"/>
    </row>
    <row r="249" spans="1:12" s="29" customFormat="1" ht="15" x14ac:dyDescent="0.2">
      <c r="A249" s="19" t="str">
        <f>'Case-Specific'!A26</f>
        <v>CONS-04</v>
      </c>
      <c r="B249" s="20" t="str">
        <f>VLOOKUP($A249,'Case-Specific'!$A$13:$E$85,2,0)&amp;""</f>
        <v>Can access be restricted based on source IP address?*</v>
      </c>
      <c r="C249" s="45" t="str">
        <f>VLOOKUP($A249,'Case-Specific'!$A$13:$E$85,3,0)&amp;""</f>
        <v/>
      </c>
      <c r="D249" s="34" t="str">
        <f>IF(LEFT(VLOOKUP($A249,'Case-Specific'!$A$13:$E$85,5,0),21)='Auto Responses'!$A$32,'Auto Responses'!$A$33,VLOOKUP($A249,'Case-Specific'!$A$13:$E$85,4,0))&amp;""</f>
        <v/>
      </c>
      <c r="E249" s="330" t="str">
        <f>VLOOKUP($A249,'Case-Specific'!$A$13:$E$85,5,0)&amp;""</f>
        <v/>
      </c>
      <c r="F249" s="195"/>
      <c r="G249" s="30" t="str">
        <f>VLOOKUP($A249,Questions!$A$2:$X$333,21,0)&amp;""</f>
        <v>Yes</v>
      </c>
      <c r="H249" s="185"/>
      <c r="I249" s="45" t="str">
        <f>VLOOKUP($A249,Questions!$A$2:$X$333,23,0)&amp;""</f>
        <v>Critical Importance</v>
      </c>
      <c r="J249" s="185"/>
      <c r="K249" s="48" t="b">
        <v>0</v>
      </c>
      <c r="L249" s="1"/>
    </row>
    <row r="250" spans="1:12" s="29" customFormat="1" ht="15" x14ac:dyDescent="0.2">
      <c r="A250" s="19" t="str">
        <f>'Case-Specific'!A27</f>
        <v>CONS-05</v>
      </c>
      <c r="B250" s="20" t="str">
        <f>VLOOKUP($A250,'Case-Specific'!$A$13:$E$85,2,0)&amp;""</f>
        <v>Will the consulting take place on-premises?</v>
      </c>
      <c r="C250" s="45" t="str">
        <f>VLOOKUP($A250,'Case-Specific'!$A$13:$E$85,3,0)&amp;""</f>
        <v/>
      </c>
      <c r="D250" s="34" t="str">
        <f>IF(LEFT(VLOOKUP($A250,'Case-Specific'!$A$13:$E$85,5,0),21)='Auto Responses'!$A$32,'Auto Responses'!$A$33,VLOOKUP($A250,'Case-Specific'!$A$13:$E$85,4,0))&amp;""</f>
        <v/>
      </c>
      <c r="E250" s="330" t="str">
        <f>VLOOKUP($A250,'Case-Specific'!$A$13:$E$85,5,0)&amp;""</f>
        <v/>
      </c>
      <c r="F250" s="195"/>
      <c r="G250" s="30" t="str">
        <f>VLOOKUP($A250,Questions!$A$2:$X$333,21,0)&amp;""</f>
        <v>No</v>
      </c>
      <c r="H250" s="185"/>
      <c r="I250" s="45" t="str">
        <f>VLOOKUP($A250,Questions!$A$2:$X$333,23,0)&amp;""</f>
        <v>Standard Importance</v>
      </c>
      <c r="J250" s="185"/>
      <c r="K250" s="48" t="b">
        <v>0</v>
      </c>
      <c r="L250" s="1"/>
    </row>
    <row r="251" spans="1:12" s="29" customFormat="1" ht="28.5" x14ac:dyDescent="0.2">
      <c r="A251" s="19" t="str">
        <f>'Case-Specific'!A28</f>
        <v>CONS-06</v>
      </c>
      <c r="B251" s="20" t="str">
        <f>VLOOKUP($A251,'Case-Specific'!$A$13:$E$85,2,0)&amp;""</f>
        <v>Will the consultant require access to hardware in the institution's data centers?</v>
      </c>
      <c r="C251" s="45" t="str">
        <f>VLOOKUP($A251,'Case-Specific'!$A$13:$E$85,3,0)&amp;""</f>
        <v/>
      </c>
      <c r="D251" s="34" t="str">
        <f>IF(LEFT(VLOOKUP($A251,'Case-Specific'!$A$13:$E$85,5,0),21)='Auto Responses'!$A$32,'Auto Responses'!$A$33,VLOOKUP($A251,'Case-Specific'!$A$13:$E$85,4,0))&amp;""</f>
        <v/>
      </c>
      <c r="E251" s="330" t="str">
        <f>VLOOKUP($A251,'Case-Specific'!$A$13:$E$85,5,0)&amp;""</f>
        <v/>
      </c>
      <c r="F251" s="195"/>
      <c r="G251" s="30" t="str">
        <f>VLOOKUP($A251,Questions!$A$2:$X$333,21,0)&amp;""</f>
        <v>No</v>
      </c>
      <c r="H251" s="185"/>
      <c r="I251" s="45" t="str">
        <f>VLOOKUP($A251,Questions!$A$2:$X$333,23,0)&amp;""</f>
        <v>Standard Importance</v>
      </c>
      <c r="J251" s="185"/>
      <c r="K251" s="48" t="b">
        <v>0</v>
      </c>
      <c r="L251" s="1"/>
    </row>
    <row r="252" spans="1:12" s="29" customFormat="1" ht="28.5" x14ac:dyDescent="0.2">
      <c r="A252" s="19" t="str">
        <f>'Case-Specific'!A29</f>
        <v>CONS-07</v>
      </c>
      <c r="B252" s="20" t="str">
        <f>VLOOKUP($A252,'Case-Specific'!$A$13:$E$85,2,0)&amp;""</f>
        <v>Will the consultant require an account within the institution's domain (@*.edu)?</v>
      </c>
      <c r="C252" s="45" t="str">
        <f>VLOOKUP($A252,'Case-Specific'!$A$13:$E$85,3,0)&amp;""</f>
        <v/>
      </c>
      <c r="D252" s="34" t="str">
        <f>IF(LEFT(VLOOKUP($A252,'Case-Specific'!$A$13:$E$85,5,0),21)='Auto Responses'!$A$32,'Auto Responses'!$A$33,VLOOKUP($A252,'Case-Specific'!$A$13:$E$85,4,0))&amp;""</f>
        <v/>
      </c>
      <c r="E252" s="330" t="str">
        <f>VLOOKUP($A252,'Case-Specific'!$A$13:$E$85,5,0)&amp;""</f>
        <v/>
      </c>
      <c r="F252" s="195"/>
      <c r="G252" s="30" t="str">
        <f>VLOOKUP($A252,Questions!$A$2:$X$333,21,0)&amp;""</f>
        <v>No</v>
      </c>
      <c r="H252" s="185"/>
      <c r="I252" s="45" t="str">
        <f>VLOOKUP($A252,Questions!$A$2:$X$333,23,0)&amp;""</f>
        <v>Standard Importance</v>
      </c>
      <c r="J252" s="185"/>
      <c r="K252" s="48" t="b">
        <v>0</v>
      </c>
      <c r="L252" s="1"/>
    </row>
    <row r="253" spans="1:12" s="29" customFormat="1" ht="15" x14ac:dyDescent="0.2">
      <c r="A253" s="19" t="str">
        <f>'Case-Specific'!A30</f>
        <v>CONS-08</v>
      </c>
      <c r="B253" s="20" t="str">
        <f>VLOOKUP($A253,'Case-Specific'!$A$13:$E$85,2,0)&amp;""</f>
        <v>Will any data be transferred to the consultant's possession?</v>
      </c>
      <c r="C253" s="45" t="str">
        <f>VLOOKUP($A253,'Case-Specific'!$A$13:$E$85,3,0)&amp;""</f>
        <v/>
      </c>
      <c r="D253" s="34" t="str">
        <f>IF(LEFT(VLOOKUP($A253,'Case-Specific'!$A$13:$E$85,5,0),21)='Auto Responses'!$A$32,'Auto Responses'!$A$33,VLOOKUP($A253,'Case-Specific'!$A$13:$E$85,4,0))&amp;""</f>
        <v/>
      </c>
      <c r="E253" s="330" t="str">
        <f>VLOOKUP($A253,'Case-Specific'!$A$13:$E$85,5,0)&amp;""</f>
        <v/>
      </c>
      <c r="F253" s="195"/>
      <c r="G253" s="30" t="str">
        <f>VLOOKUP($A253,Questions!$A$2:$X$333,21,0)&amp;""</f>
        <v>No</v>
      </c>
      <c r="H253" s="185"/>
      <c r="I253" s="45" t="str">
        <f>VLOOKUP($A253,Questions!$A$2:$X$333,23,0)&amp;""</f>
        <v>Standard Importance</v>
      </c>
      <c r="J253" s="185"/>
      <c r="K253" s="48" t="b">
        <v>0</v>
      </c>
      <c r="L253" s="1"/>
    </row>
    <row r="254" spans="1:12" s="29" customFormat="1" ht="28.5" x14ac:dyDescent="0.2">
      <c r="A254" s="19" t="str">
        <f>'Case-Specific'!A31</f>
        <v>CONS-09</v>
      </c>
      <c r="B254" s="20" t="str">
        <f>VLOOKUP($A254,'Case-Specific'!$A$13:$E$85,2,0)&amp;""</f>
        <v>Will the consultant need remote access to the institution's network or systems?</v>
      </c>
      <c r="C254" s="45" t="str">
        <f>VLOOKUP($A254,'Case-Specific'!$A$13:$E$85,3,0)&amp;""</f>
        <v/>
      </c>
      <c r="D254" s="34" t="str">
        <f>IF(LEFT(VLOOKUP($A254,'Case-Specific'!$A$13:$E$85,5,0),21)='Auto Responses'!$A$32,'Auto Responses'!$A$33,VLOOKUP($A254,'Case-Specific'!$A$13:$E$85,4,0))&amp;""</f>
        <v/>
      </c>
      <c r="E254" s="330" t="str">
        <f>VLOOKUP($A254,'Case-Specific'!$A$13:$E$85,5,0)&amp;""</f>
        <v/>
      </c>
      <c r="F254" s="195"/>
      <c r="G254" s="30" t="str">
        <f>VLOOKUP($A254,Questions!$A$2:$X$333,21,0)&amp;""</f>
        <v>No</v>
      </c>
      <c r="H254" s="185"/>
      <c r="I254" s="45" t="str">
        <f>VLOOKUP($A254,Questions!$A$2:$X$333,23,0)&amp;""</f>
        <v>Standard Importance</v>
      </c>
      <c r="J254" s="185"/>
      <c r="K254" s="48" t="b">
        <v>0</v>
      </c>
      <c r="L254" s="1"/>
    </row>
    <row r="255" spans="1:12" s="1" customFormat="1" ht="18" x14ac:dyDescent="0.2">
      <c r="A255" s="63" t="str">
        <f>VLOOKUP(LEFT($A256,4),'Auto Responses'!$N$4:$O$38,2,0)&amp;""</f>
        <v xml:space="preserve">HIPAA Compliance </v>
      </c>
      <c r="B255" s="22"/>
      <c r="C255" s="31"/>
      <c r="D255" s="31"/>
      <c r="E255" s="331"/>
      <c r="F255" s="131" t="s">
        <v>1030</v>
      </c>
      <c r="G255" s="335" t="s">
        <v>869</v>
      </c>
      <c r="H255" s="335" t="s">
        <v>871</v>
      </c>
      <c r="I255" s="335" t="s">
        <v>19</v>
      </c>
      <c r="J255" s="335" t="s">
        <v>856</v>
      </c>
      <c r="K255" s="335" t="s">
        <v>867</v>
      </c>
    </row>
    <row r="256" spans="1:12" s="29" customFormat="1" ht="90" x14ac:dyDescent="0.2">
      <c r="A256" s="19" t="str">
        <f>'Case-Specific'!A33</f>
        <v>HIPA-01</v>
      </c>
      <c r="B256" s="20" t="str">
        <f>VLOOKUP($A256,'Case-Specific'!$A$13:$E$85,2,0)&amp;""</f>
        <v>Do your workforce members receive regular training related to the Health Insurance Portability and Accountability Act (HIPAA) Privacy and Security Rules and the HITECH Act?*</v>
      </c>
      <c r="C256" s="45" t="str">
        <f>VLOOKUP($A256,'Case-Specific'!$A$13:$E$85,3,0)&amp;""</f>
        <v/>
      </c>
      <c r="D256" s="34" t="str">
        <f>IF(LEFT(VLOOKUP($A256,'Case-Specific'!$A$13:$E$85,5,0),21)='Auto Responses'!$A$32,'Auto Responses'!$A$33,VLOOKUP($A256,'Case-Specific'!$A$13:$E$85,4,0))&amp;""</f>
        <v/>
      </c>
      <c r="E256" s="330" t="str">
        <f>VLOOKUP($A256,'Case-Specific'!$A$13:$E$85,5,0)&amp;""</f>
        <v>Refer to HIPAA regulations documentation for supplemental guidance in this section.</v>
      </c>
      <c r="F256" s="195"/>
      <c r="G256" s="30" t="str">
        <f>VLOOKUP($A256,Questions!$A$2:$X$333,21,0)&amp;""</f>
        <v>Yes</v>
      </c>
      <c r="H256" s="185"/>
      <c r="I256" s="45" t="str">
        <f>VLOOKUP($A256,Questions!$A$2:$X$333,23,0)&amp;""</f>
        <v>Critical Importance</v>
      </c>
      <c r="J256" s="185"/>
      <c r="K256" s="48" t="b">
        <v>0</v>
      </c>
      <c r="L256" s="1"/>
    </row>
    <row r="257" spans="1:12" s="29" customFormat="1" ht="90" x14ac:dyDescent="0.2">
      <c r="A257" s="19" t="str">
        <f>'Case-Specific'!A34</f>
        <v>HIPA-02</v>
      </c>
      <c r="B257" s="20" t="str">
        <f>VLOOKUP($A257,'Case-Specific'!$A$13:$E$85,2,0)&amp;""</f>
        <v>Have you identified areas of risk?*</v>
      </c>
      <c r="C257" s="45" t="str">
        <f>VLOOKUP($A257,'Case-Specific'!$A$13:$E$85,3,0)&amp;""</f>
        <v/>
      </c>
      <c r="D257" s="34" t="str">
        <f>IF(LEFT(VLOOKUP($A257,'Case-Specific'!$A$13:$E$85,5,0),21)='Auto Responses'!$A$32,'Auto Responses'!$A$33,VLOOKUP($A257,'Case-Specific'!$A$13:$E$85,4,0))&amp;""</f>
        <v/>
      </c>
      <c r="E257" s="330" t="str">
        <f>VLOOKUP($A257,'Case-Specific'!$A$13:$E$85,5,0)&amp;""</f>
        <v>Refer to HIPAA regulations documentation for supplemental guidance in this section.</v>
      </c>
      <c r="F257" s="195"/>
      <c r="G257" s="30" t="str">
        <f>VLOOKUP($A257,Questions!$A$2:$X$333,21,0)&amp;""</f>
        <v>Yes</v>
      </c>
      <c r="H257" s="185"/>
      <c r="I257" s="45" t="str">
        <f>VLOOKUP($A257,Questions!$A$2:$X$333,23,0)&amp;""</f>
        <v>Critical Importance</v>
      </c>
      <c r="J257" s="185"/>
      <c r="K257" s="48" t="b">
        <v>0</v>
      </c>
      <c r="L257" s="1"/>
    </row>
    <row r="258" spans="1:12" s="29" customFormat="1" ht="90" x14ac:dyDescent="0.2">
      <c r="A258" s="19" t="str">
        <f>'Case-Specific'!A35</f>
        <v>HIPA-03</v>
      </c>
      <c r="B258" s="20" t="str">
        <f>VLOOKUP($A258,'Case-Specific'!$A$13:$E$85,2,0)&amp;""</f>
        <v>Have the relevant policies/plans been tested?*</v>
      </c>
      <c r="C258" s="45" t="str">
        <f>VLOOKUP($A258,'Case-Specific'!$A$13:$E$85,3,0)&amp;""</f>
        <v/>
      </c>
      <c r="D258" s="34" t="str">
        <f>IF(LEFT(VLOOKUP($A258,'Case-Specific'!$A$13:$E$85,5,0),21)='Auto Responses'!$A$32,'Auto Responses'!$A$33,VLOOKUP($A258,'Case-Specific'!$A$13:$E$85,4,0))&amp;""</f>
        <v/>
      </c>
      <c r="E258" s="330" t="str">
        <f>VLOOKUP($A258,'Case-Specific'!$A$13:$E$85,5,0)&amp;""</f>
        <v>Refer to HIPAA regulations documentation for supplemental guidance in this section.</v>
      </c>
      <c r="F258" s="195"/>
      <c r="G258" s="30" t="str">
        <f>VLOOKUP($A258,Questions!$A$2:$X$333,21,0)&amp;""</f>
        <v>Yes</v>
      </c>
      <c r="H258" s="185"/>
      <c r="I258" s="45" t="str">
        <f>VLOOKUP($A258,Questions!$A$2:$X$333,23,0)&amp;""</f>
        <v>Critical Importance</v>
      </c>
      <c r="J258" s="185"/>
      <c r="K258" s="48" t="b">
        <v>0</v>
      </c>
      <c r="L258" s="1"/>
    </row>
    <row r="259" spans="1:12" s="29" customFormat="1" ht="90" x14ac:dyDescent="0.2">
      <c r="A259" s="19" t="str">
        <f>'Case-Specific'!A36</f>
        <v>HIPA-04</v>
      </c>
      <c r="B259" s="20" t="str">
        <f>VLOOKUP($A259,'Case-Specific'!$A$13:$E$85,2,0)&amp;""</f>
        <v>Have you entered into a Business Associate Agreements with all subcontractors who may have access to protected health information (PHI)?*</v>
      </c>
      <c r="C259" s="45" t="str">
        <f>VLOOKUP($A259,'Case-Specific'!$A$13:$E$85,3,0)&amp;""</f>
        <v/>
      </c>
      <c r="D259" s="34" t="str">
        <f>IF(LEFT(VLOOKUP($A259,'Case-Specific'!$A$13:$E$85,5,0),21)='Auto Responses'!$A$32,'Auto Responses'!$A$33,VLOOKUP($A259,'Case-Specific'!$A$13:$E$85,4,0))&amp;""</f>
        <v/>
      </c>
      <c r="E259" s="330" t="str">
        <f>VLOOKUP($A259,'Case-Specific'!$A$13:$E$85,5,0)&amp;""</f>
        <v>Refer to HIPAA regulations documentation for supplemental guidance in this section.</v>
      </c>
      <c r="F259" s="195"/>
      <c r="G259" s="30" t="str">
        <f>VLOOKUP($A259,Questions!$A$2:$X$333,21,0)&amp;""</f>
        <v>Yes</v>
      </c>
      <c r="H259" s="185"/>
      <c r="I259" s="45" t="str">
        <f>VLOOKUP($A259,Questions!$A$2:$X$333,23,0)&amp;""</f>
        <v>Critical Importance</v>
      </c>
      <c r="J259" s="185"/>
      <c r="K259" s="48" t="b">
        <v>0</v>
      </c>
      <c r="L259" s="1"/>
    </row>
    <row r="260" spans="1:12" s="29" customFormat="1" ht="90" x14ac:dyDescent="0.2">
      <c r="A260" s="19" t="str">
        <f>'Case-Specific'!A37</f>
        <v>HIPA-05</v>
      </c>
      <c r="B260" s="20" t="str">
        <f>VLOOKUP($A260,'Case-Specific'!$A$13:$E$85,2,0)&amp;""</f>
        <v>Do you monitor or receive information regarding changes in HIPAA regulations?</v>
      </c>
      <c r="C260" s="45" t="str">
        <f>VLOOKUP($A260,'Case-Specific'!$A$13:$E$85,3,0)&amp;""</f>
        <v/>
      </c>
      <c r="D260" s="34" t="str">
        <f>IF(LEFT(VLOOKUP($A260,'Case-Specific'!$A$13:$E$85,5,0),21)='Auto Responses'!$A$32,'Auto Responses'!$A$33,VLOOKUP($A260,'Case-Specific'!$A$13:$E$85,4,0))&amp;""</f>
        <v/>
      </c>
      <c r="E260" s="330" t="str">
        <f>VLOOKUP($A260,'Case-Specific'!$A$13:$E$85,5,0)&amp;""</f>
        <v>Refer to HIPAA regulations documentation for supplemental guidance in this section.</v>
      </c>
      <c r="F260" s="195"/>
      <c r="G260" s="30" t="str">
        <f>VLOOKUP($A260,Questions!$A$2:$X$333,21,0)&amp;""</f>
        <v>Yes</v>
      </c>
      <c r="H260" s="185"/>
      <c r="I260" s="45" t="str">
        <f>VLOOKUP($A260,Questions!$A$2:$X$333,23,0)&amp;""</f>
        <v>Standard Importance</v>
      </c>
      <c r="J260" s="185"/>
      <c r="K260" s="48" t="b">
        <v>0</v>
      </c>
      <c r="L260" s="1"/>
    </row>
    <row r="261" spans="1:12" s="29" customFormat="1" ht="90" x14ac:dyDescent="0.2">
      <c r="A261" s="19" t="str">
        <f>'Case-Specific'!A38</f>
        <v>HIPA-06</v>
      </c>
      <c r="B261" s="20" t="str">
        <f>VLOOKUP($A261,'Case-Specific'!$A$13:$E$85,2,0)&amp;""</f>
        <v>Has your organization designated HIPAA Privacy and Security officers as required by the rules?</v>
      </c>
      <c r="C261" s="45" t="str">
        <f>VLOOKUP($A261,'Case-Specific'!$A$13:$E$85,3,0)&amp;""</f>
        <v/>
      </c>
      <c r="D261" s="34" t="str">
        <f>IF(LEFT(VLOOKUP($A261,'Case-Specific'!$A$13:$E$85,5,0),21)='Auto Responses'!$A$32,'Auto Responses'!$A$33,VLOOKUP($A261,'Case-Specific'!$A$13:$E$85,4,0))&amp;""</f>
        <v/>
      </c>
      <c r="E261" s="330" t="str">
        <f>VLOOKUP($A261,'Case-Specific'!$A$13:$E$85,5,0)&amp;""</f>
        <v>Refer to HIPAA regulations documentation for supplemental guidance in this section.</v>
      </c>
      <c r="F261" s="195"/>
      <c r="G261" s="30" t="str">
        <f>VLOOKUP($A261,Questions!$A$2:$X$333,21,0)&amp;""</f>
        <v>Yes</v>
      </c>
      <c r="H261" s="185"/>
      <c r="I261" s="45" t="str">
        <f>VLOOKUP($A261,Questions!$A$2:$X$333,23,0)&amp;""</f>
        <v>Standard Importance</v>
      </c>
      <c r="J261" s="185"/>
      <c r="K261" s="48" t="b">
        <v>0</v>
      </c>
      <c r="L261" s="1"/>
    </row>
    <row r="262" spans="1:12" s="29" customFormat="1" ht="90" x14ac:dyDescent="0.2">
      <c r="A262" s="19" t="str">
        <f>'Case-Specific'!A39</f>
        <v>HIPA-07</v>
      </c>
      <c r="B262" s="20" t="str">
        <f>VLOOKUP($A262,'Case-Specific'!$A$13:$E$85,2,0)&amp;""</f>
        <v>Do you comply with the requirements of the Health Information Technology for Economic and Clinical Health Act (HITECH)?</v>
      </c>
      <c r="C262" s="45" t="str">
        <f>VLOOKUP($A262,'Case-Specific'!$A$13:$E$85,3,0)&amp;""</f>
        <v/>
      </c>
      <c r="D262" s="34" t="str">
        <f>IF(LEFT(VLOOKUP($A262,'Case-Specific'!$A$13:$E$85,5,0),21)='Auto Responses'!$A$32,'Auto Responses'!$A$33,VLOOKUP($A262,'Case-Specific'!$A$13:$E$85,4,0))&amp;""</f>
        <v/>
      </c>
      <c r="E262" s="330" t="str">
        <f>VLOOKUP($A262,'Case-Specific'!$A$13:$E$85,5,0)&amp;""</f>
        <v>Refer to HIPAA regulations documentation for supplemental guidance in this section.</v>
      </c>
      <c r="F262" s="195"/>
      <c r="G262" s="30" t="str">
        <f>VLOOKUP($A262,Questions!$A$2:$X$333,21,0)&amp;""</f>
        <v>Yes</v>
      </c>
      <c r="H262" s="185"/>
      <c r="I262" s="45" t="str">
        <f>VLOOKUP($A262,Questions!$A$2:$X$333,23,0)&amp;""</f>
        <v>Standard Importance</v>
      </c>
      <c r="J262" s="185"/>
      <c r="K262" s="48" t="b">
        <v>0</v>
      </c>
      <c r="L262" s="1"/>
    </row>
    <row r="263" spans="1:12" s="29" customFormat="1" ht="90" x14ac:dyDescent="0.2">
      <c r="A263" s="19" t="str">
        <f>'Case-Specific'!A40</f>
        <v>HIPA-08</v>
      </c>
      <c r="B263" s="20" t="str">
        <f>VLOOKUP($A263,'Case-Specific'!$A$13:$E$85,2,0)&amp;""</f>
        <v>Have you conducted a risk analysis as required under the HIPAA Security Rule?</v>
      </c>
      <c r="C263" s="45" t="str">
        <f>VLOOKUP($A263,'Case-Specific'!$A$13:$E$85,3,0)&amp;""</f>
        <v/>
      </c>
      <c r="D263" s="34" t="str">
        <f>IF(LEFT(VLOOKUP($A263,'Case-Specific'!$A$13:$E$85,5,0),21)='Auto Responses'!$A$32,'Auto Responses'!$A$33,VLOOKUP($A263,'Case-Specific'!$A$13:$E$85,4,0))&amp;""</f>
        <v/>
      </c>
      <c r="E263" s="330" t="str">
        <f>VLOOKUP($A263,'Case-Specific'!$A$13:$E$85,5,0)&amp;""</f>
        <v>Refer to HIPAA regulations documentation for supplemental guidance in this section.</v>
      </c>
      <c r="F263" s="195"/>
      <c r="G263" s="30" t="str">
        <f>VLOOKUP($A263,Questions!$A$2:$X$333,21,0)&amp;""</f>
        <v>Yes</v>
      </c>
      <c r="H263" s="185"/>
      <c r="I263" s="45" t="str">
        <f>VLOOKUP($A263,Questions!$A$2:$X$333,23,0)&amp;""</f>
        <v>Standard Importance</v>
      </c>
      <c r="J263" s="185"/>
      <c r="K263" s="48" t="b">
        <v>0</v>
      </c>
      <c r="L263" s="1"/>
    </row>
    <row r="264" spans="1:12" s="29" customFormat="1" ht="90" x14ac:dyDescent="0.2">
      <c r="A264" s="19" t="str">
        <f>'Case-Specific'!A41</f>
        <v>HIPA-09</v>
      </c>
      <c r="B264" s="20" t="str">
        <f>VLOOKUP($A264,'Case-Specific'!$A$13:$E$85,2,0)&amp;""</f>
        <v>Have you taken actions to mitigate the identified risks?</v>
      </c>
      <c r="C264" s="45" t="str">
        <f>VLOOKUP($A264,'Case-Specific'!$A$13:$E$85,3,0)&amp;""</f>
        <v/>
      </c>
      <c r="D264" s="34" t="str">
        <f>IF(LEFT(VLOOKUP($A264,'Case-Specific'!$A$13:$E$85,5,0),21)='Auto Responses'!$A$32,'Auto Responses'!$A$33,VLOOKUP($A264,'Case-Specific'!$A$13:$E$85,4,0))&amp;""</f>
        <v/>
      </c>
      <c r="E264" s="330" t="str">
        <f>VLOOKUP($A264,'Case-Specific'!$A$13:$E$85,5,0)&amp;""</f>
        <v>Refer to HIPAA regulations documentation for supplemental guidance in this section.</v>
      </c>
      <c r="F264" s="195"/>
      <c r="G264" s="30" t="str">
        <f>VLOOKUP($A264,Questions!$A$2:$X$333,21,0)&amp;""</f>
        <v>Yes</v>
      </c>
      <c r="H264" s="185"/>
      <c r="I264" s="45" t="str">
        <f>VLOOKUP($A264,Questions!$A$2:$X$333,23,0)&amp;""</f>
        <v>Standard Importance</v>
      </c>
      <c r="J264" s="185"/>
      <c r="K264" s="48" t="b">
        <v>0</v>
      </c>
      <c r="L264" s="1"/>
    </row>
    <row r="265" spans="1:12" s="29" customFormat="1" ht="90" x14ac:dyDescent="0.2">
      <c r="A265" s="19" t="str">
        <f>'Case-Specific'!A42</f>
        <v>HIPA-10</v>
      </c>
      <c r="B265" s="20" t="str">
        <f>VLOOKUP($A265,'Case-Specific'!$A$13:$E$85,2,0)&amp;""</f>
        <v>Does your application require user and system administrator password changes at a frequency no greater than 90 days?</v>
      </c>
      <c r="C265" s="45" t="str">
        <f>VLOOKUP($A265,'Case-Specific'!$A$13:$E$85,3,0)&amp;""</f>
        <v/>
      </c>
      <c r="D265" s="34" t="str">
        <f>IF(LEFT(VLOOKUP($A265,'Case-Specific'!$A$13:$E$85,5,0),21)='Auto Responses'!$A$32,'Auto Responses'!$A$33,VLOOKUP($A265,'Case-Specific'!$A$13:$E$85,4,0))&amp;""</f>
        <v/>
      </c>
      <c r="E265" s="330" t="str">
        <f>VLOOKUP($A265,'Case-Specific'!$A$13:$E$85,5,0)&amp;""</f>
        <v>Refer to HIPAA regulations documentation for supplemental guidance in this section.</v>
      </c>
      <c r="F265" s="195"/>
      <c r="G265" s="30" t="str">
        <f>VLOOKUP($A265,Questions!$A$2:$X$333,21,0)&amp;""</f>
        <v>Yes</v>
      </c>
      <c r="H265" s="185"/>
      <c r="I265" s="45" t="str">
        <f>VLOOKUP($A265,Questions!$A$2:$X$333,23,0)&amp;""</f>
        <v>Standard Importance</v>
      </c>
      <c r="J265" s="185"/>
      <c r="K265" s="48" t="b">
        <v>0</v>
      </c>
      <c r="L265" s="1"/>
    </row>
    <row r="266" spans="1:12" s="29" customFormat="1" ht="90" x14ac:dyDescent="0.2">
      <c r="A266" s="19" t="str">
        <f>'Case-Specific'!A43</f>
        <v>HIPA-11</v>
      </c>
      <c r="B266" s="20" t="str">
        <f>VLOOKUP($A266,'Case-Specific'!$A$13:$E$85,2,0)&amp;""</f>
        <v>Does your application require users to set their own password after an administrator reset or on first use of the account?</v>
      </c>
      <c r="C266" s="45" t="str">
        <f>VLOOKUP($A266,'Case-Specific'!$A$13:$E$85,3,0)&amp;""</f>
        <v/>
      </c>
      <c r="D266" s="34" t="str">
        <f>IF(LEFT(VLOOKUP($A266,'Case-Specific'!$A$13:$E$85,5,0),21)='Auto Responses'!$A$32,'Auto Responses'!$A$33,VLOOKUP($A266,'Case-Specific'!$A$13:$E$85,4,0))&amp;""</f>
        <v/>
      </c>
      <c r="E266" s="330" t="str">
        <f>VLOOKUP($A266,'Case-Specific'!$A$13:$E$85,5,0)&amp;""</f>
        <v>Refer to HIPAA regulations documentation for supplemental guidance in this section.</v>
      </c>
      <c r="F266" s="195"/>
      <c r="G266" s="30" t="str">
        <f>VLOOKUP($A266,Questions!$A$2:$X$333,21,0)&amp;""</f>
        <v>Yes</v>
      </c>
      <c r="H266" s="185"/>
      <c r="I266" s="45" t="str">
        <f>VLOOKUP($A266,Questions!$A$2:$X$333,23,0)&amp;""</f>
        <v>Standard Importance</v>
      </c>
      <c r="J266" s="185"/>
      <c r="K266" s="48" t="b">
        <v>0</v>
      </c>
      <c r="L266" s="1"/>
    </row>
    <row r="267" spans="1:12" s="29" customFormat="1" ht="90" x14ac:dyDescent="0.2">
      <c r="A267" s="19" t="str">
        <f>'Case-Specific'!A44</f>
        <v>HIPA-12</v>
      </c>
      <c r="B267" s="20" t="str">
        <f>VLOOKUP($A267,'Case-Specific'!$A$13:$E$85,2,0)&amp;""</f>
        <v>Does your application lock out an account after a number of failed login attempts?</v>
      </c>
      <c r="C267" s="45" t="str">
        <f>VLOOKUP($A267,'Case-Specific'!$A$13:$E$85,3,0)&amp;""</f>
        <v/>
      </c>
      <c r="D267" s="34" t="str">
        <f>IF(LEFT(VLOOKUP($A267,'Case-Specific'!$A$13:$E$85,5,0),21)='Auto Responses'!$A$32,'Auto Responses'!$A$33,VLOOKUP($A267,'Case-Specific'!$A$13:$E$85,4,0))&amp;""</f>
        <v/>
      </c>
      <c r="E267" s="330" t="str">
        <f>VLOOKUP($A267,'Case-Specific'!$A$13:$E$85,5,0)&amp;""</f>
        <v>Refer to HIPAA regulations documentation for supplemental guidance in this section.</v>
      </c>
      <c r="F267" s="195"/>
      <c r="G267" s="30" t="str">
        <f>VLOOKUP($A267,Questions!$A$2:$X$333,21,0)&amp;""</f>
        <v>Yes</v>
      </c>
      <c r="H267" s="185"/>
      <c r="I267" s="45" t="str">
        <f>VLOOKUP($A267,Questions!$A$2:$X$333,23,0)&amp;""</f>
        <v>Standard Importance</v>
      </c>
      <c r="J267" s="185"/>
      <c r="K267" s="48" t="b">
        <v>0</v>
      </c>
      <c r="L267" s="1"/>
    </row>
    <row r="268" spans="1:12" s="29" customFormat="1" ht="90" x14ac:dyDescent="0.2">
      <c r="A268" s="19" t="str">
        <f>'Case-Specific'!A45</f>
        <v>HIPA-13</v>
      </c>
      <c r="B268" s="20" t="str">
        <f>VLOOKUP($A268,'Case-Specific'!$A$13:$E$85,2,0)&amp;""</f>
        <v>Does your application automatically lock or log-out an account after a period of inactivity?</v>
      </c>
      <c r="C268" s="45" t="str">
        <f>VLOOKUP($A268,'Case-Specific'!$A$13:$E$85,3,0)&amp;""</f>
        <v/>
      </c>
      <c r="D268" s="34" t="str">
        <f>IF(LEFT(VLOOKUP($A268,'Case-Specific'!$A$13:$E$85,5,0),21)='Auto Responses'!$A$32,'Auto Responses'!$A$33,VLOOKUP($A268,'Case-Specific'!$A$13:$E$85,4,0))&amp;""</f>
        <v/>
      </c>
      <c r="E268" s="330" t="str">
        <f>VLOOKUP($A268,'Case-Specific'!$A$13:$E$85,5,0)&amp;""</f>
        <v>Refer to HIPAA regulations documentation for supplemental guidance in this section.</v>
      </c>
      <c r="F268" s="195"/>
      <c r="G268" s="30" t="str">
        <f>VLOOKUP($A268,Questions!$A$2:$X$333,21,0)&amp;""</f>
        <v>Yes</v>
      </c>
      <c r="H268" s="185"/>
      <c r="I268" s="45" t="str">
        <f>VLOOKUP($A268,Questions!$A$2:$X$333,23,0)&amp;""</f>
        <v>Standard Importance</v>
      </c>
      <c r="J268" s="185"/>
      <c r="K268" s="48" t="b">
        <v>0</v>
      </c>
      <c r="L268" s="1"/>
    </row>
    <row r="269" spans="1:12" s="29" customFormat="1" ht="90" x14ac:dyDescent="0.2">
      <c r="A269" s="19" t="str">
        <f>'Case-Specific'!A46</f>
        <v>HIPA-14</v>
      </c>
      <c r="B269" s="20" t="str">
        <f>VLOOKUP($A269,'Case-Specific'!$A$13:$E$85,2,0)&amp;""</f>
        <v>Are passwords visible in plain text, whether when stored or entered, including service level accounts (i.e., database accounts, etc.)?</v>
      </c>
      <c r="C269" s="45" t="str">
        <f>VLOOKUP($A269,'Case-Specific'!$A$13:$E$85,3,0)&amp;""</f>
        <v/>
      </c>
      <c r="D269" s="34" t="str">
        <f>IF(LEFT(VLOOKUP($A269,'Case-Specific'!$A$13:$E$85,5,0),21)='Auto Responses'!$A$32,'Auto Responses'!$A$33,VLOOKUP($A269,'Case-Specific'!$A$13:$E$85,4,0))&amp;""</f>
        <v/>
      </c>
      <c r="E269" s="330" t="str">
        <f>VLOOKUP($A269,'Case-Specific'!$A$13:$E$85,5,0)&amp;""</f>
        <v>Refer to HIPAA regulations documentation for supplemental guidance in this section.</v>
      </c>
      <c r="F269" s="195"/>
      <c r="G269" s="30" t="str">
        <f>VLOOKUP($A269,Questions!$A$2:$X$333,21,0)&amp;""</f>
        <v>No</v>
      </c>
      <c r="H269" s="185"/>
      <c r="I269" s="45" t="str">
        <f>VLOOKUP($A269,Questions!$A$2:$X$333,23,0)&amp;""</f>
        <v>Standard Importance</v>
      </c>
      <c r="J269" s="185"/>
      <c r="K269" s="48" t="b">
        <v>0</v>
      </c>
      <c r="L269" s="1"/>
    </row>
    <row r="270" spans="1:12" s="29" customFormat="1" ht="90" x14ac:dyDescent="0.2">
      <c r="A270" s="19" t="str">
        <f>'Case-Specific'!A47</f>
        <v>HIPA-15</v>
      </c>
      <c r="B270" s="20" t="str">
        <f>VLOOKUP($A270,'Case-Specific'!$A$13:$E$85,2,0)&amp;""</f>
        <v>If the application is institution-hosted, can all service level and administrative account passwords be changed by the institution?</v>
      </c>
      <c r="C270" s="45" t="str">
        <f>VLOOKUP($A270,'Case-Specific'!$A$13:$E$85,3,0)&amp;""</f>
        <v/>
      </c>
      <c r="D270" s="34" t="str">
        <f>IF(LEFT(VLOOKUP($A270,'Case-Specific'!$A$13:$E$85,5,0),21)='Auto Responses'!$A$32,'Auto Responses'!$A$33,VLOOKUP($A270,'Case-Specific'!$A$13:$E$85,4,0))&amp;""</f>
        <v/>
      </c>
      <c r="E270" s="330" t="str">
        <f>VLOOKUP($A270,'Case-Specific'!$A$13:$E$85,5,0)&amp;""</f>
        <v>Refer to HIPAA regulations documentation for supplemental guidance in this section.</v>
      </c>
      <c r="F270" s="195"/>
      <c r="G270" s="30" t="str">
        <f>VLOOKUP($A270,Questions!$A$2:$X$333,21,0)&amp;""</f>
        <v>Yes</v>
      </c>
      <c r="H270" s="185"/>
      <c r="I270" s="45" t="str">
        <f>VLOOKUP($A270,Questions!$A$2:$X$333,23,0)&amp;""</f>
        <v>Standard Importance</v>
      </c>
      <c r="J270" s="185"/>
      <c r="K270" s="48" t="b">
        <v>0</v>
      </c>
      <c r="L270" s="1"/>
    </row>
    <row r="271" spans="1:12" s="29" customFormat="1" ht="90" x14ac:dyDescent="0.2">
      <c r="A271" s="19" t="str">
        <f>'Case-Specific'!A48</f>
        <v>HIPA-16</v>
      </c>
      <c r="B271" s="20" t="str">
        <f>VLOOKUP($A271,'Case-Specific'!$A$13:$E$85,2,0)&amp;""</f>
        <v>Does your application provide the ability to define user access levels?</v>
      </c>
      <c r="C271" s="45" t="str">
        <f>VLOOKUP($A271,'Case-Specific'!$A$13:$E$85,3,0)&amp;""</f>
        <v/>
      </c>
      <c r="D271" s="34" t="str">
        <f>IF(LEFT(VLOOKUP($A271,'Case-Specific'!$A$13:$E$85,5,0),21)='Auto Responses'!$A$32,'Auto Responses'!$A$33,VLOOKUP($A271,'Case-Specific'!$A$13:$E$85,4,0))&amp;""</f>
        <v/>
      </c>
      <c r="E271" s="330" t="str">
        <f>VLOOKUP($A271,'Case-Specific'!$A$13:$E$85,5,0)&amp;""</f>
        <v>Refer to HIPAA regulations documentation for supplemental guidance in this section.</v>
      </c>
      <c r="F271" s="195"/>
      <c r="G271" s="30" t="str">
        <f>VLOOKUP($A271,Questions!$A$2:$X$333,21,0)&amp;""</f>
        <v>Yes</v>
      </c>
      <c r="H271" s="185"/>
      <c r="I271" s="45" t="str">
        <f>VLOOKUP($A271,Questions!$A$2:$X$333,23,0)&amp;""</f>
        <v>Standard Importance</v>
      </c>
      <c r="J271" s="185"/>
      <c r="K271" s="48" t="b">
        <v>0</v>
      </c>
      <c r="L271" s="1"/>
    </row>
    <row r="272" spans="1:12" s="29" customFormat="1" ht="90" x14ac:dyDescent="0.2">
      <c r="A272" s="19" t="str">
        <f>'Case-Specific'!A49</f>
        <v>HIPA-17</v>
      </c>
      <c r="B272" s="20" t="str">
        <f>VLOOKUP($A272,'Case-Specific'!$A$13:$E$85,2,0)&amp;""</f>
        <v>Does your application support varying levels of access to administrative tasks defined individually per user?</v>
      </c>
      <c r="C272" s="45" t="str">
        <f>VLOOKUP($A272,'Case-Specific'!$A$13:$E$85,3,0)&amp;""</f>
        <v/>
      </c>
      <c r="D272" s="34" t="str">
        <f>IF(LEFT(VLOOKUP($A272,'Case-Specific'!$A$13:$E$85,5,0),21)='Auto Responses'!$A$32,'Auto Responses'!$A$33,VLOOKUP($A272,'Case-Specific'!$A$13:$E$85,4,0))&amp;""</f>
        <v/>
      </c>
      <c r="E272" s="330" t="str">
        <f>VLOOKUP($A272,'Case-Specific'!$A$13:$E$85,5,0)&amp;""</f>
        <v>Refer to HIPAA regulations documentation for supplemental guidance in this section.</v>
      </c>
      <c r="F272" s="195"/>
      <c r="G272" s="30" t="str">
        <f>VLOOKUP($A272,Questions!$A$2:$X$333,21,0)&amp;""</f>
        <v>Yes</v>
      </c>
      <c r="H272" s="185"/>
      <c r="I272" s="45" t="str">
        <f>VLOOKUP($A272,Questions!$A$2:$X$333,23,0)&amp;""</f>
        <v>Standard Importance</v>
      </c>
      <c r="J272" s="185"/>
      <c r="K272" s="48" t="b">
        <v>0</v>
      </c>
      <c r="L272" s="1"/>
    </row>
    <row r="273" spans="1:12" s="29" customFormat="1" ht="90" x14ac:dyDescent="0.2">
      <c r="A273" s="19" t="str">
        <f>'Case-Specific'!A50</f>
        <v>HIPA-18</v>
      </c>
      <c r="B273" s="20" t="str">
        <f>VLOOKUP($A273,'Case-Specific'!$A$13:$E$85,2,0)&amp;""</f>
        <v>Does your application support varying levels of access to records based on user ID?</v>
      </c>
      <c r="C273" s="45" t="str">
        <f>VLOOKUP($A273,'Case-Specific'!$A$13:$E$85,3,0)&amp;""</f>
        <v/>
      </c>
      <c r="D273" s="34" t="str">
        <f>IF(LEFT(VLOOKUP($A273,'Case-Specific'!$A$13:$E$85,5,0),21)='Auto Responses'!$A$32,'Auto Responses'!$A$33,VLOOKUP($A273,'Case-Specific'!$A$13:$E$85,4,0))&amp;""</f>
        <v/>
      </c>
      <c r="E273" s="330" t="str">
        <f>VLOOKUP($A273,'Case-Specific'!$A$13:$E$85,5,0)&amp;""</f>
        <v>Refer to HIPAA regulations documentation for supplemental guidance in this section.</v>
      </c>
      <c r="F273" s="195"/>
      <c r="G273" s="30" t="str">
        <f>VLOOKUP($A273,Questions!$A$2:$X$333,21,0)&amp;""</f>
        <v>No</v>
      </c>
      <c r="H273" s="185"/>
      <c r="I273" s="45" t="str">
        <f>VLOOKUP($A273,Questions!$A$2:$X$333,23,0)&amp;""</f>
        <v>Standard Importance</v>
      </c>
      <c r="J273" s="185"/>
      <c r="K273" s="48" t="b">
        <v>0</v>
      </c>
      <c r="L273" s="1"/>
    </row>
    <row r="274" spans="1:12" s="29" customFormat="1" ht="90" x14ac:dyDescent="0.2">
      <c r="A274" s="19" t="str">
        <f>'Case-Specific'!A51</f>
        <v>HIPA-19</v>
      </c>
      <c r="B274" s="20" t="str">
        <f>VLOOKUP($A274,'Case-Specific'!$A$13:$E$85,2,0)&amp;""</f>
        <v>Is there a limit to the number of groups to which a user can be assigned?</v>
      </c>
      <c r="C274" s="45" t="str">
        <f>VLOOKUP($A274,'Case-Specific'!$A$13:$E$85,3,0)&amp;""</f>
        <v/>
      </c>
      <c r="D274" s="34" t="str">
        <f>IF(LEFT(VLOOKUP($A274,'Case-Specific'!$A$13:$E$85,5,0),21)='Auto Responses'!$A$32,'Auto Responses'!$A$33,VLOOKUP($A274,'Case-Specific'!$A$13:$E$85,4,0))&amp;""</f>
        <v/>
      </c>
      <c r="E274" s="330" t="str">
        <f>VLOOKUP($A274,'Case-Specific'!$A$13:$E$85,5,0)&amp;""</f>
        <v>Refer to HIPAA regulations documentation for supplemental guidance in this section.</v>
      </c>
      <c r="F274" s="195"/>
      <c r="G274" s="30" t="str">
        <f>VLOOKUP($A274,Questions!$A$2:$X$333,21,0)&amp;""</f>
        <v>Yes</v>
      </c>
      <c r="H274" s="185"/>
      <c r="I274" s="45" t="str">
        <f>VLOOKUP($A274,Questions!$A$2:$X$333,23,0)&amp;""</f>
        <v>Standard Importance</v>
      </c>
      <c r="J274" s="185"/>
      <c r="K274" s="48" t="b">
        <v>0</v>
      </c>
      <c r="L274" s="1"/>
    </row>
    <row r="275" spans="1:12" s="29" customFormat="1" ht="90" x14ac:dyDescent="0.2">
      <c r="A275" s="19" t="str">
        <f>'Case-Specific'!A52</f>
        <v>HIPA-20</v>
      </c>
      <c r="B275" s="20" t="str">
        <f>VLOOKUP($A275,'Case-Specific'!$A$13:$E$85,2,0)&amp;""</f>
        <v>Do accounts used for solution provider-supplied remote support abide by the same authentication policies and access logging as the rest of the system?</v>
      </c>
      <c r="C275" s="45" t="str">
        <f>VLOOKUP($A275,'Case-Specific'!$A$13:$E$85,3,0)&amp;""</f>
        <v/>
      </c>
      <c r="D275" s="34" t="str">
        <f>IF(LEFT(VLOOKUP($A275,'Case-Specific'!$A$13:$E$85,5,0),21)='Auto Responses'!$A$32,'Auto Responses'!$A$33,VLOOKUP($A275,'Case-Specific'!$A$13:$E$85,4,0))&amp;""</f>
        <v/>
      </c>
      <c r="E275" s="330" t="str">
        <f>VLOOKUP($A275,'Case-Specific'!$A$13:$E$85,5,0)&amp;""</f>
        <v>Refer to HIPAA regulations documentation for supplemental guidance in this section.</v>
      </c>
      <c r="F275" s="195"/>
      <c r="G275" s="30" t="str">
        <f>VLOOKUP($A275,Questions!$A$2:$X$333,21,0)&amp;""</f>
        <v>Yes</v>
      </c>
      <c r="H275" s="185"/>
      <c r="I275" s="45" t="str">
        <f>VLOOKUP($A275,Questions!$A$2:$X$333,23,0)&amp;""</f>
        <v>Standard Importance</v>
      </c>
      <c r="J275" s="185"/>
      <c r="K275" s="48" t="b">
        <v>0</v>
      </c>
      <c r="L275" s="1"/>
    </row>
    <row r="276" spans="1:12" s="29" customFormat="1" ht="90" x14ac:dyDescent="0.2">
      <c r="A276" s="19" t="str">
        <f>'Case-Specific'!A53</f>
        <v>HIPA-21</v>
      </c>
      <c r="B276" s="20" t="str">
        <f>VLOOKUP($A276,'Case-Specific'!$A$13:$E$85,2,0)&amp;""</f>
        <v>Does the application log record access including specific user, date/time of access, and originating IP or device?</v>
      </c>
      <c r="C276" s="45" t="str">
        <f>VLOOKUP($A276,'Case-Specific'!$A$13:$E$85,3,0)&amp;""</f>
        <v/>
      </c>
      <c r="D276" s="34" t="str">
        <f>IF(LEFT(VLOOKUP($A276,'Case-Specific'!$A$13:$E$85,5,0),21)='Auto Responses'!$A$32,'Auto Responses'!$A$33,VLOOKUP($A276,'Case-Specific'!$A$13:$E$85,4,0))&amp;""</f>
        <v/>
      </c>
      <c r="E276" s="330" t="str">
        <f>VLOOKUP($A276,'Case-Specific'!$A$13:$E$85,5,0)&amp;""</f>
        <v>Refer to HIPAA regulations documentation for supplemental guidance in this section.</v>
      </c>
      <c r="F276" s="195"/>
      <c r="G276" s="30" t="str">
        <f>VLOOKUP($A276,Questions!$A$2:$X$333,21,0)&amp;""</f>
        <v>Yes</v>
      </c>
      <c r="H276" s="185"/>
      <c r="I276" s="45" t="str">
        <f>VLOOKUP($A276,Questions!$A$2:$X$333,23,0)&amp;""</f>
        <v>Standard Importance</v>
      </c>
      <c r="J276" s="185"/>
      <c r="K276" s="48" t="b">
        <v>0</v>
      </c>
      <c r="L276" s="1"/>
    </row>
    <row r="277" spans="1:12" s="29" customFormat="1" ht="90" x14ac:dyDescent="0.2">
      <c r="A277" s="19" t="str">
        <f>'Case-Specific'!A54</f>
        <v>HIPA-22</v>
      </c>
      <c r="B277" s="20" t="str">
        <f>VLOOKUP($A277,'Case-Specific'!$A$13:$E$85,2,0)&amp;""</f>
        <v>Does the application log administrative activity, such as user account access changes and password changes, including specific user, date/time of changes, and originating IP or device?</v>
      </c>
      <c r="C277" s="45" t="str">
        <f>VLOOKUP($A277,'Case-Specific'!$A$13:$E$85,3,0)&amp;""</f>
        <v/>
      </c>
      <c r="D277" s="34" t="str">
        <f>IF(LEFT(VLOOKUP($A277,'Case-Specific'!$A$13:$E$85,5,0),21)='Auto Responses'!$A$32,'Auto Responses'!$A$33,VLOOKUP($A277,'Case-Specific'!$A$13:$E$85,4,0))&amp;""</f>
        <v/>
      </c>
      <c r="E277" s="330" t="str">
        <f>VLOOKUP($A277,'Case-Specific'!$A$13:$E$85,5,0)&amp;""</f>
        <v>Refer to HIPAA regulations documentation for supplemental guidance in this section.</v>
      </c>
      <c r="F277" s="195"/>
      <c r="G277" s="30" t="str">
        <f>VLOOKUP($A277,Questions!$A$2:$X$333,21,0)&amp;""</f>
        <v>Yes</v>
      </c>
      <c r="H277" s="185"/>
      <c r="I277" s="45" t="str">
        <f>VLOOKUP($A277,Questions!$A$2:$X$333,23,0)&amp;""</f>
        <v>Standard Importance</v>
      </c>
      <c r="J277" s="185"/>
      <c r="K277" s="48" t="b">
        <v>0</v>
      </c>
      <c r="L277" s="1"/>
    </row>
    <row r="278" spans="1:12" s="29" customFormat="1" ht="90" x14ac:dyDescent="0.2">
      <c r="A278" s="19" t="str">
        <f>'Case-Specific'!A55</f>
        <v>HIPA-23</v>
      </c>
      <c r="B278" s="20" t="str">
        <f>VLOOKUP($A278,'Case-Specific'!$A$13:$E$85,2,0)&amp;""</f>
        <v>Do you retain logs for at least as long as required by HIPAA regulations?</v>
      </c>
      <c r="C278" s="45" t="str">
        <f>VLOOKUP($A278,'Case-Specific'!$A$13:$E$85,3,0)&amp;""</f>
        <v/>
      </c>
      <c r="D278" s="34" t="str">
        <f>IF(LEFT(VLOOKUP($A278,'Case-Specific'!$A$13:$E$85,5,0),21)='Auto Responses'!$A$32,'Auto Responses'!$A$33,VLOOKUP($A278,'Case-Specific'!$A$13:$E$85,4,0))&amp;""</f>
        <v/>
      </c>
      <c r="E278" s="330" t="str">
        <f>VLOOKUP($A278,'Case-Specific'!$A$13:$E$85,5,0)&amp;""</f>
        <v>Refer to HIPAA regulations documentation for supplemental guidance in this section.</v>
      </c>
      <c r="F278" s="195"/>
      <c r="G278" s="30" t="str">
        <f>VLOOKUP($A278,Questions!$A$2:$X$333,21,0)&amp;""</f>
        <v>Yes</v>
      </c>
      <c r="H278" s="185"/>
      <c r="I278" s="45" t="str">
        <f>VLOOKUP($A278,Questions!$A$2:$X$333,23,0)&amp;""</f>
        <v>Standard Importance</v>
      </c>
      <c r="J278" s="185"/>
      <c r="K278" s="48" t="b">
        <v>0</v>
      </c>
      <c r="L278" s="1"/>
    </row>
    <row r="279" spans="1:12" s="29" customFormat="1" ht="90" x14ac:dyDescent="0.2">
      <c r="A279" s="19" t="str">
        <f>'Case-Specific'!A56</f>
        <v>HIPA-24</v>
      </c>
      <c r="B279" s="20" t="str">
        <f>VLOOKUP($A279,'Case-Specific'!$A$13:$E$85,2,0)&amp;""</f>
        <v>Can the application logs be archived?</v>
      </c>
      <c r="C279" s="45" t="str">
        <f>VLOOKUP($A279,'Case-Specific'!$A$13:$E$85,3,0)&amp;""</f>
        <v/>
      </c>
      <c r="D279" s="34" t="str">
        <f>IF(LEFT(VLOOKUP($A279,'Case-Specific'!$A$13:$E$85,5,0),21)='Auto Responses'!$A$32,'Auto Responses'!$A$33,VLOOKUP($A279,'Case-Specific'!$A$13:$E$85,4,0))&amp;""</f>
        <v/>
      </c>
      <c r="E279" s="330" t="str">
        <f>VLOOKUP($A279,'Case-Specific'!$A$13:$E$85,5,0)&amp;""</f>
        <v>Refer to HIPAA regulations documentation for supplemental guidance in this section.</v>
      </c>
      <c r="F279" s="195"/>
      <c r="G279" s="30" t="str">
        <f>VLOOKUP($A279,Questions!$A$2:$X$333,21,0)&amp;""</f>
        <v>Yes</v>
      </c>
      <c r="H279" s="185"/>
      <c r="I279" s="45" t="str">
        <f>VLOOKUP($A279,Questions!$A$2:$X$333,23,0)&amp;""</f>
        <v>Standard Importance</v>
      </c>
      <c r="J279" s="185"/>
      <c r="K279" s="48" t="b">
        <v>0</v>
      </c>
      <c r="L279" s="1"/>
    </row>
    <row r="280" spans="1:12" s="29" customFormat="1" ht="90" x14ac:dyDescent="0.2">
      <c r="A280" s="19" t="str">
        <f>'Case-Specific'!A57</f>
        <v>HIPA-25</v>
      </c>
      <c r="B280" s="20" t="str">
        <f>VLOOKUP($A280,'Case-Specific'!$A$13:$E$85,2,0)&amp;""</f>
        <v>Can the application logs be saved externally?</v>
      </c>
      <c r="C280" s="45" t="str">
        <f>VLOOKUP($A280,'Case-Specific'!$A$13:$E$85,3,0)&amp;""</f>
        <v/>
      </c>
      <c r="D280" s="34" t="str">
        <f>IF(LEFT(VLOOKUP($A280,'Case-Specific'!$A$13:$E$85,5,0),21)='Auto Responses'!$A$32,'Auto Responses'!$A$33,VLOOKUP($A280,'Case-Specific'!$A$13:$E$85,4,0))&amp;""</f>
        <v/>
      </c>
      <c r="E280" s="330" t="str">
        <f>VLOOKUP($A280,'Case-Specific'!$A$13:$E$85,5,0)&amp;""</f>
        <v>Refer to HIPAA regulations documentation for supplemental guidance in this section.</v>
      </c>
      <c r="F280" s="195"/>
      <c r="G280" s="30" t="str">
        <f>VLOOKUP($A280,Questions!$A$2:$X$333,21,0)&amp;""</f>
        <v>Yes</v>
      </c>
      <c r="H280" s="185"/>
      <c r="I280" s="45" t="str">
        <f>VLOOKUP($A280,Questions!$A$2:$X$333,23,0)&amp;""</f>
        <v>Standard Importance</v>
      </c>
      <c r="J280" s="185"/>
      <c r="K280" s="48" t="b">
        <v>0</v>
      </c>
      <c r="L280" s="1"/>
    </row>
    <row r="281" spans="1:12" s="29" customFormat="1" ht="90" x14ac:dyDescent="0.2">
      <c r="A281" s="19" t="str">
        <f>'Case-Specific'!A58</f>
        <v>HIPA-26</v>
      </c>
      <c r="B281" s="20" t="str">
        <f>VLOOKUP($A281,'Case-Specific'!$A$13:$E$85,2,0)&amp;""</f>
        <v>Do you have a disaster recovery plan and emergency mode operation plan?</v>
      </c>
      <c r="C281" s="45" t="str">
        <f>VLOOKUP($A281,'Case-Specific'!$A$13:$E$85,3,0)&amp;""</f>
        <v/>
      </c>
      <c r="D281" s="34" t="str">
        <f>IF(LEFT(VLOOKUP($A281,'Case-Specific'!$A$13:$E$85,5,0),21)='Auto Responses'!$A$32,'Auto Responses'!$A$33,VLOOKUP($A281,'Case-Specific'!$A$13:$E$85,4,0))&amp;""</f>
        <v/>
      </c>
      <c r="E281" s="330" t="str">
        <f>VLOOKUP($A281,'Case-Specific'!$A$13:$E$85,5,0)&amp;""</f>
        <v>Refer to HIPAA regulations documentation for supplemental guidance in this section.</v>
      </c>
      <c r="F281" s="195"/>
      <c r="G281" s="30" t="str">
        <f>VLOOKUP($A281,Questions!$A$2:$X$333,21,0)&amp;""</f>
        <v>Yes</v>
      </c>
      <c r="H281" s="185"/>
      <c r="I281" s="45" t="str">
        <f>VLOOKUP($A281,Questions!$A$2:$X$333,23,0)&amp;""</f>
        <v>Standard Importance</v>
      </c>
      <c r="J281" s="185"/>
      <c r="K281" s="48" t="b">
        <v>0</v>
      </c>
      <c r="L281" s="1"/>
    </row>
    <row r="282" spans="1:12" s="29" customFormat="1" ht="90" x14ac:dyDescent="0.2">
      <c r="A282" s="19" t="str">
        <f>'Case-Specific'!A59</f>
        <v>HIPA-27</v>
      </c>
      <c r="B282" s="20" t="str">
        <f>VLOOKUP($A282,'Case-Specific'!$A$13:$E$85,2,0)&amp;""</f>
        <v>Can you provide a HIPAA compliance attestation document?</v>
      </c>
      <c r="C282" s="45" t="str">
        <f>VLOOKUP($A282,'Case-Specific'!$A$13:$E$85,3,0)&amp;""</f>
        <v/>
      </c>
      <c r="D282" s="34" t="str">
        <f>IF(LEFT(VLOOKUP($A282,'Case-Specific'!$A$13:$E$85,5,0),21)='Auto Responses'!$A$32,'Auto Responses'!$A$33,VLOOKUP($A282,'Case-Specific'!$A$13:$E$85,4,0))&amp;""</f>
        <v/>
      </c>
      <c r="E282" s="330" t="str">
        <f>VLOOKUP($A282,'Case-Specific'!$A$13:$E$85,5,0)&amp;""</f>
        <v>Refer to HIPAA regulations documentation for supplemental guidance in this section.</v>
      </c>
      <c r="F282" s="195"/>
      <c r="G282" s="30" t="str">
        <f>VLOOKUP($A282,Questions!$A$2:$X$333,21,0)&amp;""</f>
        <v>Yes</v>
      </c>
      <c r="H282" s="185"/>
      <c r="I282" s="45" t="str">
        <f>VLOOKUP($A282,Questions!$A$2:$X$333,23,0)&amp;""</f>
        <v>Standard Importance</v>
      </c>
      <c r="J282" s="185"/>
      <c r="K282" s="48" t="b">
        <v>0</v>
      </c>
      <c r="L282" s="1"/>
    </row>
    <row r="283" spans="1:12" s="29" customFormat="1" ht="90" x14ac:dyDescent="0.2">
      <c r="A283" s="19" t="str">
        <f>'Case-Specific'!A60</f>
        <v>HIPA-28</v>
      </c>
      <c r="B283" s="20" t="str">
        <f>VLOOKUP($A283,'Case-Specific'!$A$13:$E$85,2,0)&amp;""</f>
        <v>Are you willing to enter into a Business Associate Agreement (BAA)?</v>
      </c>
      <c r="C283" s="45" t="str">
        <f>VLOOKUP($A283,'Case-Specific'!$A$13:$E$85,3,0)&amp;""</f>
        <v/>
      </c>
      <c r="D283" s="34" t="str">
        <f>IF(LEFT(VLOOKUP($A283,'Case-Specific'!$A$13:$E$85,5,0),21)='Auto Responses'!$A$32,'Auto Responses'!$A$33,VLOOKUP($A283,'Case-Specific'!$A$13:$E$85,4,0))&amp;""</f>
        <v/>
      </c>
      <c r="E283" s="330" t="str">
        <f>VLOOKUP($A283,'Case-Specific'!$A$13:$E$85,5,0)&amp;""</f>
        <v>Refer to HIPAA regulations documentation for supplemental guidance in this section.</v>
      </c>
      <c r="F283" s="195"/>
      <c r="G283" s="30" t="str">
        <f>VLOOKUP($A283,Questions!$A$2:$X$333,21,0)&amp;""</f>
        <v>Yes</v>
      </c>
      <c r="H283" s="185"/>
      <c r="I283" s="45" t="str">
        <f>VLOOKUP($A283,Questions!$A$2:$X$333,23,0)&amp;""</f>
        <v>Standard Importance</v>
      </c>
      <c r="J283" s="185"/>
      <c r="K283" s="48" t="b">
        <v>0</v>
      </c>
      <c r="L283" s="1"/>
    </row>
    <row r="284" spans="1:12" s="29" customFormat="1" ht="90" x14ac:dyDescent="0.2">
      <c r="A284" s="19" t="str">
        <f>'Case-Specific'!A61</f>
        <v>HIPA-29</v>
      </c>
      <c r="B284" s="20" t="str">
        <f>VLOOKUP($A284,'Case-Specific'!$A$13:$E$85,2,0)&amp;""</f>
        <v>Do your data backup and retention policies and practices meet HIPAA requirements?</v>
      </c>
      <c r="C284" s="45" t="str">
        <f>VLOOKUP($A284,'Case-Specific'!$A$13:$E$85,3,0)&amp;""</f>
        <v/>
      </c>
      <c r="D284" s="34" t="str">
        <f>IF(LEFT(VLOOKUP($A284,'Case-Specific'!$A$13:$E$85,5,0),21)='Auto Responses'!$A$32,'Auto Responses'!$A$33,VLOOKUP($A284,'Case-Specific'!$A$13:$E$85,4,0))&amp;""</f>
        <v/>
      </c>
      <c r="E284" s="330" t="str">
        <f>VLOOKUP($A284,'Case-Specific'!$A$13:$E$85,5,0)&amp;""</f>
        <v>Refer to HIPAA regulations documentation for supplemental guidance in this section.</v>
      </c>
      <c r="F284" s="195"/>
      <c r="G284" s="30" t="str">
        <f>VLOOKUP($A284,Questions!$A$2:$X$333,21,0)&amp;""</f>
        <v>Yes</v>
      </c>
      <c r="H284" s="185"/>
      <c r="I284" s="45" t="str">
        <f>VLOOKUP($A284,Questions!$A$2:$X$333,23,0)&amp;""</f>
        <v>Minor Importance</v>
      </c>
      <c r="J284" s="185"/>
      <c r="K284" s="48" t="b">
        <v>0</v>
      </c>
      <c r="L284" s="1"/>
    </row>
    <row r="285" spans="1:12" s="1" customFormat="1" ht="18" x14ac:dyDescent="0.2">
      <c r="A285" s="63" t="str">
        <f>VLOOKUP(LEFT($A286,4),'Auto Responses'!$N$4:$O$38,2,0)&amp;""</f>
        <v xml:space="preserve"> Payment Card Industry Data Security Standard (PCI DSS)</v>
      </c>
      <c r="B285" s="22"/>
      <c r="C285" s="31"/>
      <c r="D285" s="31"/>
      <c r="E285" s="331"/>
      <c r="F285" s="131" t="s">
        <v>1030</v>
      </c>
      <c r="G285" s="335" t="s">
        <v>869</v>
      </c>
      <c r="H285" s="335" t="s">
        <v>871</v>
      </c>
      <c r="I285" s="335" t="s">
        <v>19</v>
      </c>
      <c r="J285" s="335" t="s">
        <v>856</v>
      </c>
      <c r="K285" s="335" t="s">
        <v>867</v>
      </c>
    </row>
    <row r="286" spans="1:12" s="29" customFormat="1" ht="75" x14ac:dyDescent="0.2">
      <c r="A286" s="19" t="str">
        <f>'Case-Specific'!A63</f>
        <v>PCID-01</v>
      </c>
      <c r="B286" s="20" t="str">
        <f>VLOOKUP($A286,'Case-Specific'!$A$13:$E$85,2,0)&amp;""</f>
        <v>Do you have a current, executed within the past year, Attestation of Compliance (AoC) or Report on Compliance (RoC)?*</v>
      </c>
      <c r="C286" s="45" t="str">
        <f>VLOOKUP($A286,'Case-Specific'!$A$13:$E$85,3,0)&amp;""</f>
        <v/>
      </c>
      <c r="D286" s="34" t="str">
        <f>IF(LEFT(VLOOKUP($A286,'Case-Specific'!$A$13:$E$85,5,0),21)='Auto Responses'!$A$32,'Auto Responses'!$A$33,VLOOKUP($A286,'Case-Specific'!$A$13:$E$85,4,0))&amp;""</f>
        <v/>
      </c>
      <c r="E286" s="330" t="str">
        <f>VLOOKUP($A286,'Case-Specific'!$A$13:$E$85,5,0)&amp;""</f>
        <v>Refer to PCI DSS Security Standards for supplemental guidance in this section</v>
      </c>
      <c r="F286" s="195"/>
      <c r="G286" s="30" t="str">
        <f>VLOOKUP($A286,Questions!$A$2:$X$333,21,0)&amp;""</f>
        <v>Yes</v>
      </c>
      <c r="H286" s="185"/>
      <c r="I286" s="45" t="str">
        <f>VLOOKUP($A286,Questions!$A$2:$X$333,23,0)&amp;""</f>
        <v>Critical Importance</v>
      </c>
      <c r="J286" s="185"/>
      <c r="K286" s="48" t="b">
        <v>0</v>
      </c>
      <c r="L286" s="1"/>
    </row>
    <row r="287" spans="1:12" s="29" customFormat="1" ht="75" x14ac:dyDescent="0.2">
      <c r="A287" s="19" t="str">
        <f>'Case-Specific'!A64</f>
        <v>PCID-02</v>
      </c>
      <c r="B287" s="20" t="str">
        <f>VLOOKUP($A287,'Case-Specific'!$A$13:$E$85,2,0)&amp;""</f>
        <v>Is the application listed as an approved Payment Application Data Security Standard (PA-DSS) application?*</v>
      </c>
      <c r="C287" s="45" t="str">
        <f>VLOOKUP($A287,'Case-Specific'!$A$13:$E$85,3,0)&amp;""</f>
        <v/>
      </c>
      <c r="D287" s="34" t="str">
        <f>IF(LEFT(VLOOKUP($A287,'Case-Specific'!$A$13:$E$85,5,0),21)='Auto Responses'!$A$32,'Auto Responses'!$A$33,VLOOKUP($A287,'Case-Specific'!$A$13:$E$85,4,0))&amp;""</f>
        <v/>
      </c>
      <c r="E287" s="330" t="str">
        <f>VLOOKUP($A287,'Case-Specific'!$A$13:$E$85,5,0)&amp;""</f>
        <v>Refer to PCI DSS Security Standards for supplemental guidance in this section</v>
      </c>
      <c r="F287" s="195"/>
      <c r="G287" s="30" t="str">
        <f>VLOOKUP($A287,Questions!$A$2:$X$333,21,0)&amp;""</f>
        <v>No</v>
      </c>
      <c r="H287" s="185"/>
      <c r="I287" s="45" t="str">
        <f>VLOOKUP($A287,Questions!$A$2:$X$333,23,0)&amp;""</f>
        <v>Critical Importance</v>
      </c>
      <c r="J287" s="185"/>
      <c r="K287" s="48" t="b">
        <v>0</v>
      </c>
      <c r="L287" s="1"/>
    </row>
    <row r="288" spans="1:12" s="29" customFormat="1" ht="75" x14ac:dyDescent="0.2">
      <c r="A288" s="19" t="str">
        <f>'Case-Specific'!A65</f>
        <v>PCID-03</v>
      </c>
      <c r="B288" s="20" t="str">
        <f>VLOOKUP($A288,'Case-Specific'!$A$13:$E$85,2,0)&amp;""</f>
        <v>Does the system or solutions use a third party to collect, store, process, or transmit cardholder (payment/credit/debt card) data?*</v>
      </c>
      <c r="C288" s="45" t="str">
        <f>VLOOKUP($A288,'Case-Specific'!$A$13:$E$85,3,0)&amp;""</f>
        <v/>
      </c>
      <c r="D288" s="34" t="str">
        <f>IF(LEFT(VLOOKUP($A288,'Case-Specific'!$A$13:$E$85,5,0),21)='Auto Responses'!$A$32,'Auto Responses'!$A$33,VLOOKUP($A288,'Case-Specific'!$A$13:$E$85,4,0))&amp;""</f>
        <v/>
      </c>
      <c r="E288" s="330" t="str">
        <f>VLOOKUP($A288,'Case-Specific'!$A$13:$E$85,5,0)&amp;""</f>
        <v>Refer to PCI DSS Security Standards for supplemental guidance in this section</v>
      </c>
      <c r="F288" s="195"/>
      <c r="G288" s="30" t="str">
        <f>VLOOKUP($A288,Questions!$A$2:$X$333,21,0)&amp;""</f>
        <v>No</v>
      </c>
      <c r="H288" s="185"/>
      <c r="I288" s="45" t="str">
        <f>VLOOKUP($A288,Questions!$A$2:$X$333,23,0)&amp;""</f>
        <v>Critical Importance</v>
      </c>
      <c r="J288" s="185"/>
      <c r="K288" s="48" t="b">
        <v>0</v>
      </c>
      <c r="L288" s="1"/>
    </row>
    <row r="289" spans="1:12" s="29" customFormat="1" ht="75" x14ac:dyDescent="0.2">
      <c r="A289" s="19" t="str">
        <f>'Case-Specific'!A66</f>
        <v>PCID-04</v>
      </c>
      <c r="B289" s="20" t="str">
        <f>VLOOKUP($A289,'Case-Specific'!$A$13:$E$85,2,0)&amp;""</f>
        <v>Do your systems or solutions store, process, or transmit cardholder (payment/credit/debt card) data?</v>
      </c>
      <c r="C289" s="45" t="str">
        <f>VLOOKUP($A289,'Case-Specific'!$A$13:$E$85,3,0)&amp;""</f>
        <v/>
      </c>
      <c r="D289" s="34" t="str">
        <f>IF(LEFT(VLOOKUP($A289,'Case-Specific'!$A$13:$E$85,5,0),21)='Auto Responses'!$A$32,'Auto Responses'!$A$33,VLOOKUP($A289,'Case-Specific'!$A$13:$E$85,4,0))&amp;""</f>
        <v/>
      </c>
      <c r="E289" s="330" t="str">
        <f>VLOOKUP($A289,'Case-Specific'!$A$13:$E$85,5,0)&amp;""</f>
        <v>Refer to PCI DSS Security Standards for supplemental guidance in this section</v>
      </c>
      <c r="F289" s="195"/>
      <c r="G289" s="30" t="str">
        <f>VLOOKUP($A289,Questions!$A$2:$X$333,21,0)&amp;""</f>
        <v>Yes</v>
      </c>
      <c r="H289" s="185"/>
      <c r="I289" s="45" t="str">
        <f>VLOOKUP($A289,Questions!$A$2:$X$333,23,0)&amp;""</f>
        <v>Standard Importance</v>
      </c>
      <c r="J289" s="185"/>
      <c r="K289" s="48" t="b">
        <v>0</v>
      </c>
      <c r="L289" s="1"/>
    </row>
    <row r="290" spans="1:12" s="29" customFormat="1" ht="75" x14ac:dyDescent="0.2">
      <c r="A290" s="19" t="str">
        <f>'Case-Specific'!A67</f>
        <v>PCID-05</v>
      </c>
      <c r="B290" s="20" t="str">
        <f>VLOOKUP($A290,'Case-Specific'!$A$13:$E$85,2,0)&amp;""</f>
        <v>Are you compliant with the Payment Card Industry Data Security Standard (PCI DSS)?</v>
      </c>
      <c r="C290" s="45" t="str">
        <f>VLOOKUP($A290,'Case-Specific'!$A$13:$E$85,3,0)&amp;""</f>
        <v/>
      </c>
      <c r="D290" s="34" t="str">
        <f>IF(LEFT(VLOOKUP($A290,'Case-Specific'!$A$13:$E$85,5,0),21)='Auto Responses'!$A$32,'Auto Responses'!$A$33,VLOOKUP($A290,'Case-Specific'!$A$13:$E$85,4,0))&amp;""</f>
        <v/>
      </c>
      <c r="E290" s="330" t="str">
        <f>VLOOKUP($A290,'Case-Specific'!$A$13:$E$85,5,0)&amp;""</f>
        <v>Refer to PCI DSS Security Standards for supplemental guidance in this section</v>
      </c>
      <c r="F290" s="195"/>
      <c r="G290" s="30" t="str">
        <f>VLOOKUP($A290,Questions!$A$2:$X$333,21,0)&amp;""</f>
        <v>Yes</v>
      </c>
      <c r="H290" s="185"/>
      <c r="I290" s="45" t="str">
        <f>VLOOKUP($A290,Questions!$A$2:$X$333,23,0)&amp;""</f>
        <v>Standard Importance</v>
      </c>
      <c r="J290" s="185"/>
      <c r="K290" s="48" t="b">
        <v>0</v>
      </c>
      <c r="L290" s="1"/>
    </row>
    <row r="291" spans="1:12" s="29" customFormat="1" ht="75" x14ac:dyDescent="0.2">
      <c r="A291" s="19" t="str">
        <f>'Case-Specific'!A68</f>
        <v>PCID-06</v>
      </c>
      <c r="B291" s="20" t="str">
        <f>VLOOKUP($A291,'Case-Specific'!$A$13:$E$85,2,0)&amp;""</f>
        <v>Are you classified as a service provider?</v>
      </c>
      <c r="C291" s="45" t="str">
        <f>VLOOKUP($A291,'Case-Specific'!$A$13:$E$85,3,0)&amp;""</f>
        <v/>
      </c>
      <c r="D291" s="34" t="str">
        <f>IF(LEFT(VLOOKUP($A291,'Case-Specific'!$A$13:$E$85,5,0),21)='Auto Responses'!$A$32,'Auto Responses'!$A$33,VLOOKUP($A291,'Case-Specific'!$A$13:$E$85,4,0))&amp;""</f>
        <v/>
      </c>
      <c r="E291" s="330" t="str">
        <f>VLOOKUP($A291,'Case-Specific'!$A$13:$E$85,5,0)&amp;""</f>
        <v>Refer to PCI DSS Security Standards for supplemental guidance in this section</v>
      </c>
      <c r="F291" s="195"/>
      <c r="G291" s="30" t="str">
        <f>VLOOKUP($A291,Questions!$A$2:$X$333,21,0)&amp;""</f>
        <v>Yes</v>
      </c>
      <c r="H291" s="185"/>
      <c r="I291" s="45" t="str">
        <f>VLOOKUP($A291,Questions!$A$2:$X$333,23,0)&amp;""</f>
        <v>Standard Importance</v>
      </c>
      <c r="J291" s="185"/>
      <c r="K291" s="48" t="b">
        <v>0</v>
      </c>
      <c r="L291" s="1"/>
    </row>
    <row r="292" spans="1:12" s="29" customFormat="1" ht="75" x14ac:dyDescent="0.2">
      <c r="A292" s="19" t="str">
        <f>'Case-Specific'!A69</f>
        <v>PCID-07</v>
      </c>
      <c r="B292" s="20" t="str">
        <f>VLOOKUP($A292,'Case-Specific'!$A$13:$E$85,2,0)&amp;""</f>
        <v>Are you on the list of Visa approved service providers?</v>
      </c>
      <c r="C292" s="45" t="str">
        <f>VLOOKUP($A292,'Case-Specific'!$A$13:$E$85,3,0)&amp;""</f>
        <v/>
      </c>
      <c r="D292" s="34" t="str">
        <f>IF(LEFT(VLOOKUP($A292,'Case-Specific'!$A$13:$E$85,5,0),21)='Auto Responses'!$A$32,'Auto Responses'!$A$33,VLOOKUP($A292,'Case-Specific'!$A$13:$E$85,4,0))&amp;""</f>
        <v/>
      </c>
      <c r="E292" s="330" t="str">
        <f>VLOOKUP($A292,'Case-Specific'!$A$13:$E$85,5,0)&amp;""</f>
        <v>Refer to PCI DSS Security Standards for supplemental guidance in this section</v>
      </c>
      <c r="F292" s="195"/>
      <c r="G292" s="30" t="str">
        <f>VLOOKUP($A292,Questions!$A$2:$X$333,21,0)&amp;""</f>
        <v>Yes</v>
      </c>
      <c r="H292" s="185"/>
      <c r="I292" s="45" t="str">
        <f>VLOOKUP($A292,Questions!$A$2:$X$333,23,0)&amp;""</f>
        <v>Standard Importance</v>
      </c>
      <c r="J292" s="185"/>
      <c r="K292" s="48" t="b">
        <v>0</v>
      </c>
      <c r="L292" s="1"/>
    </row>
    <row r="293" spans="1:12" s="29" customFormat="1" ht="75" x14ac:dyDescent="0.2">
      <c r="A293" s="19" t="str">
        <f>'Case-Specific'!A70</f>
        <v>PCID-08</v>
      </c>
      <c r="B293" s="20" t="str">
        <f>VLOOKUP($A293,'Case-Specific'!$A$13:$E$85,2,0)&amp;""</f>
        <v>Are you classified as a merchant? If so, what level (1, 2, 3, 4)?</v>
      </c>
      <c r="C293" s="45" t="str">
        <f>VLOOKUP($A293,'Case-Specific'!$A$13:$E$85,3,0)&amp;""</f>
        <v/>
      </c>
      <c r="D293" s="34" t="str">
        <f>IF(LEFT(VLOOKUP($A293,'Case-Specific'!$A$13:$E$85,5,0),21)='Auto Responses'!$A$32,'Auto Responses'!$A$33,VLOOKUP($A293,'Case-Specific'!$A$13:$E$85,4,0))&amp;""</f>
        <v/>
      </c>
      <c r="E293" s="330" t="str">
        <f>VLOOKUP($A293,'Case-Specific'!$A$13:$E$85,5,0)&amp;""</f>
        <v>Refer to PCI DSS Security Standards for supplemental guidance in this section</v>
      </c>
      <c r="F293" s="195"/>
      <c r="G293" s="30" t="str">
        <f>VLOOKUP($A293,Questions!$A$2:$X$333,21,0)&amp;""</f>
        <v>Yes</v>
      </c>
      <c r="H293" s="185"/>
      <c r="I293" s="45" t="str">
        <f>VLOOKUP($A293,Questions!$A$2:$X$333,23,0)&amp;""</f>
        <v>Standard Importance</v>
      </c>
      <c r="J293" s="185"/>
      <c r="K293" s="48" t="b">
        <v>0</v>
      </c>
      <c r="L293" s="1"/>
    </row>
    <row r="294" spans="1:12" s="29" customFormat="1" ht="75" x14ac:dyDescent="0.2">
      <c r="A294" s="19" t="str">
        <f>'Case-Specific'!A71</f>
        <v>PCID-09</v>
      </c>
      <c r="B294" s="20" t="str">
        <f>VLOOKUP($A294,'Case-Specific'!$A$13:$E$85,2,0)&amp;""</f>
        <v>Describe the architecture employed by the system to verify and authorize credit card transactions.</v>
      </c>
      <c r="C294" s="305" t="str">
        <f>VLOOKUP($A294,'Case-Specific'!$A$13:$E$85,3,0)&amp;""</f>
        <v/>
      </c>
      <c r="D294" s="304" t="str">
        <f>IF(LEFT(VLOOKUP($A294,'Case-Specific'!$A$13:$E$85,5,0),21)='Auto Responses'!$A$32,'Auto Responses'!$A$33,VLOOKUP($A294,'Case-Specific'!$A$13:$E$85,4,0))&amp;""</f>
        <v/>
      </c>
      <c r="E294" s="330" t="str">
        <f>VLOOKUP($A294,'Case-Specific'!$A$13:$E$85,5,0)&amp;""</f>
        <v>Refer to PCI DSS Security Standards for supplemental guidance in this section</v>
      </c>
      <c r="F294" s="195"/>
      <c r="G294" s="30" t="str">
        <f>VLOOKUP($A294,Questions!$A$2:$X$333,21,0)&amp;""</f>
        <v>Not scored</v>
      </c>
      <c r="H294" s="185"/>
      <c r="I294" s="45" t="str">
        <f>VLOOKUP($A294,Questions!$A$2:$X$333,23,0)&amp;""</f>
        <v/>
      </c>
      <c r="J294" s="185"/>
      <c r="K294" s="48" t="b">
        <v>0</v>
      </c>
      <c r="L294" s="1"/>
    </row>
    <row r="295" spans="1:12" s="29" customFormat="1" ht="75" x14ac:dyDescent="0.2">
      <c r="A295" s="19" t="str">
        <f>'Case-Specific'!A72</f>
        <v>PCID-10</v>
      </c>
      <c r="B295" s="20" t="str">
        <f>VLOOKUP($A295,'Case-Specific'!$A$13:$E$85,2,0)&amp;""</f>
        <v>What payment processors/gateways does the system support?</v>
      </c>
      <c r="C295" s="45" t="str">
        <f>VLOOKUP($A295,'Case-Specific'!$A$13:$E$85,3,0)&amp;""</f>
        <v/>
      </c>
      <c r="D295" s="34" t="str">
        <f>IF(LEFT(VLOOKUP($A295,'Case-Specific'!$A$13:$E$85,5,0),21)='Auto Responses'!$A$32,'Auto Responses'!$A$33,VLOOKUP($A295,'Case-Specific'!$A$13:$E$85,4,0))&amp;""</f>
        <v/>
      </c>
      <c r="E295" s="330" t="str">
        <f>VLOOKUP($A295,'Case-Specific'!$A$13:$E$85,5,0)&amp;""</f>
        <v>Refer to PCI DSS Security Standards for supplemental guidance in this section</v>
      </c>
      <c r="F295" s="195"/>
      <c r="G295" s="30" t="str">
        <f>VLOOKUP($A295,Questions!$A$2:$X$333,21,0)&amp;""</f>
        <v>Not scored</v>
      </c>
      <c r="H295" s="185"/>
      <c r="I295" s="45" t="str">
        <f>VLOOKUP($A295,Questions!$A$2:$X$333,23,0)&amp;""</f>
        <v/>
      </c>
      <c r="J295" s="185"/>
      <c r="K295" s="48" t="b">
        <v>0</v>
      </c>
      <c r="L295" s="1"/>
    </row>
    <row r="296" spans="1:12" s="29" customFormat="1" ht="75" x14ac:dyDescent="0.2">
      <c r="A296" s="19" t="str">
        <f>'Case-Specific'!A73</f>
        <v>PCID-11</v>
      </c>
      <c r="B296" s="20" t="str">
        <f>VLOOKUP($A296,'Case-Specific'!$A$13:$E$85,2,0)&amp;""</f>
        <v>Can the application be installed in a PCI DSS–compliant manner?</v>
      </c>
      <c r="C296" s="45" t="str">
        <f>VLOOKUP($A296,'Case-Specific'!$A$13:$E$85,3,0)&amp;""</f>
        <v/>
      </c>
      <c r="D296" s="34" t="str">
        <f>IF(LEFT(VLOOKUP($A296,'Case-Specific'!$A$13:$E$85,5,0),21)='Auto Responses'!$A$32,'Auto Responses'!$A$33,VLOOKUP($A296,'Case-Specific'!$A$13:$E$85,4,0))&amp;""</f>
        <v/>
      </c>
      <c r="E296" s="330" t="str">
        <f>VLOOKUP($A296,'Case-Specific'!$A$13:$E$85,5,0)&amp;""</f>
        <v>Refer to PCI DSS Security Standards for supplemental guidance in this section</v>
      </c>
      <c r="F296" s="195"/>
      <c r="G296" s="30" t="str">
        <f>VLOOKUP($A296,Questions!$A$2:$X$333,21,0)&amp;""</f>
        <v>Yes</v>
      </c>
      <c r="H296" s="185"/>
      <c r="I296" s="45" t="str">
        <f>VLOOKUP($A296,Questions!$A$2:$X$333,23,0)&amp;""</f>
        <v>Minor Importance</v>
      </c>
      <c r="J296" s="185"/>
      <c r="K296" s="48" t="b">
        <v>0</v>
      </c>
      <c r="L296" s="1"/>
    </row>
    <row r="297" spans="1:12" s="29" customFormat="1" ht="75" x14ac:dyDescent="0.2">
      <c r="A297" s="19" t="str">
        <f>'Case-Specific'!A74</f>
        <v>PCID-12</v>
      </c>
      <c r="B297" s="20" t="str">
        <f>VLOOKUP($A297,'Case-Specific'!$A$13:$E$85,2,0)&amp;""</f>
        <v>Include documentation describing the system's abilities to comply with the PCI DSS and any features or capabilities of the system that must be added or changed in order to operate in compliance with the standards.</v>
      </c>
      <c r="C297" s="305" t="str">
        <f>VLOOKUP($A297,'Case-Specific'!$A$13:$E$85,3,0)&amp;""</f>
        <v/>
      </c>
      <c r="D297" s="304" t="str">
        <f>IF(LEFT(VLOOKUP($A297,'Case-Specific'!$A$13:$E$85,5,0),21)='Auto Responses'!$A$32,'Auto Responses'!$A$33,VLOOKUP($A297,'Case-Specific'!$A$13:$E$85,4,0))&amp;""</f>
        <v/>
      </c>
      <c r="E297" s="330" t="str">
        <f>VLOOKUP($A297,'Case-Specific'!$A$13:$E$85,5,0)&amp;""</f>
        <v>Refer to PCI DSS Security Standards for supplemental guidance in this section</v>
      </c>
      <c r="F297" s="195"/>
      <c r="G297" s="30" t="str">
        <f>VLOOKUP($A297,Questions!$A$2:$X$333,21,0)&amp;""</f>
        <v>Not scored</v>
      </c>
      <c r="H297" s="185"/>
      <c r="I297" s="45" t="str">
        <f>VLOOKUP($A297,Questions!$A$2:$X$333,23,0)&amp;""</f>
        <v/>
      </c>
      <c r="J297" s="185"/>
      <c r="K297" s="48" t="b">
        <v>0</v>
      </c>
      <c r="L297" s="1"/>
    </row>
    <row r="298" spans="1:12" s="1" customFormat="1" ht="18" x14ac:dyDescent="0.2">
      <c r="A298" s="63" t="str">
        <f>VLOOKUP(LEFT($A299,4),'Auto Responses'!$N$4:$O$38,2,0)&amp;""</f>
        <v xml:space="preserve"> On-Premises Data Solutions</v>
      </c>
      <c r="B298" s="22"/>
      <c r="C298" s="31"/>
      <c r="D298" s="31"/>
      <c r="E298" s="331"/>
      <c r="F298" s="131" t="s">
        <v>1030</v>
      </c>
      <c r="G298" s="335" t="s">
        <v>869</v>
      </c>
      <c r="H298" s="335" t="s">
        <v>871</v>
      </c>
      <c r="I298" s="335" t="s">
        <v>19</v>
      </c>
      <c r="J298" s="335" t="s">
        <v>856</v>
      </c>
      <c r="K298" s="335" t="s">
        <v>867</v>
      </c>
    </row>
    <row r="299" spans="1:12" s="29" customFormat="1" ht="28.5" x14ac:dyDescent="0.2">
      <c r="A299" s="19" t="str">
        <f>'Case-Specific'!A76</f>
        <v>OPEM-01</v>
      </c>
      <c r="B299" s="20" t="str">
        <f>VLOOKUP($A299,'Case-Specific'!$A$13:$E$85,2,0)&amp;""</f>
        <v>Do you support role-based access control (RBAC) for system administrators?</v>
      </c>
      <c r="C299" s="45" t="str">
        <f>VLOOKUP($A299,'Case-Specific'!$A$13:$E$85,3,0)&amp;""</f>
        <v/>
      </c>
      <c r="D299" s="34" t="str">
        <f>IF(LEFT(VLOOKUP($A299,'Case-Specific'!$A$13:$E$85,5,0),21)='Auto Responses'!$A$32,'Auto Responses'!$A$33,VLOOKUP($A299,'Case-Specific'!$A$13:$E$85,4,0))&amp;""</f>
        <v/>
      </c>
      <c r="E299" s="330" t="str">
        <f>VLOOKUP($A299,'Case-Specific'!$A$13:$E$85,5,0)&amp;""</f>
        <v/>
      </c>
      <c r="F299" s="195"/>
      <c r="G299" s="30" t="str">
        <f>VLOOKUP($A299,Questions!$A$2:$X$333,21,0)&amp;""</f>
        <v>Yes</v>
      </c>
      <c r="H299" s="185"/>
      <c r="I299" s="45" t="str">
        <f>VLOOKUP($A299,Questions!$A$2:$X$333,23,0)&amp;""</f>
        <v>Standard Importance</v>
      </c>
      <c r="J299" s="185"/>
      <c r="K299" s="48" t="b">
        <v>0</v>
      </c>
      <c r="L299" s="1"/>
    </row>
    <row r="300" spans="1:12" s="29" customFormat="1" ht="15" x14ac:dyDescent="0.2">
      <c r="A300" s="19" t="str">
        <f>'Case-Specific'!A77</f>
        <v>OPEM-02</v>
      </c>
      <c r="B300" s="20" t="str">
        <f>VLOOKUP($A300,'Case-Specific'!$A$13:$E$85,2,0)&amp;""</f>
        <v>Can your employees access customer systems remotely?</v>
      </c>
      <c r="C300" s="45" t="str">
        <f>VLOOKUP($A300,'Case-Specific'!$A$13:$E$85,3,0)&amp;""</f>
        <v/>
      </c>
      <c r="D300" s="34" t="str">
        <f>IF(LEFT(VLOOKUP($A300,'Case-Specific'!$A$13:$E$85,5,0),21)='Auto Responses'!$A$32,'Auto Responses'!$A$33,VLOOKUP($A300,'Case-Specific'!$A$13:$E$85,4,0))&amp;""</f>
        <v/>
      </c>
      <c r="E300" s="330" t="str">
        <f>VLOOKUP($A300,'Case-Specific'!$A$13:$E$85,5,0)&amp;""</f>
        <v/>
      </c>
      <c r="F300" s="195"/>
      <c r="G300" s="30" t="str">
        <f>VLOOKUP($A300,Questions!$A$2:$X$333,21,0)&amp;""</f>
        <v>No</v>
      </c>
      <c r="H300" s="185"/>
      <c r="I300" s="45" t="str">
        <f>VLOOKUP($A300,Questions!$A$2:$X$333,23,0)&amp;""</f>
        <v>Standard Importance</v>
      </c>
      <c r="J300" s="185"/>
      <c r="K300" s="48" t="b">
        <v>0</v>
      </c>
      <c r="L300" s="1"/>
    </row>
    <row r="301" spans="1:12" s="29" customFormat="1" ht="42.75" x14ac:dyDescent="0.2">
      <c r="A301" s="19" t="str">
        <f>'Case-Specific'!A78</f>
        <v>OPEM-03</v>
      </c>
      <c r="B301" s="20" t="str">
        <f>VLOOKUP($A301,'Case-Specific'!$A$13:$E$85,2,0)&amp;""</f>
        <v>Can you provide overall system and/or application architecture diagrams including a full description of the data communications architecture for all components of the system?</v>
      </c>
      <c r="C301" s="45" t="str">
        <f>VLOOKUP($A301,'Case-Specific'!$A$13:$E$85,3,0)&amp;""</f>
        <v/>
      </c>
      <c r="D301" s="34" t="str">
        <f>IF(LEFT(VLOOKUP($A301,'Case-Specific'!$A$13:$E$85,5,0),21)='Auto Responses'!$A$32,'Auto Responses'!$A$33,VLOOKUP($A301,'Case-Specific'!$A$13:$E$85,4,0))&amp;""</f>
        <v/>
      </c>
      <c r="E301" s="330" t="str">
        <f>VLOOKUP($A301,'Case-Specific'!$A$13:$E$85,5,0)&amp;""</f>
        <v/>
      </c>
      <c r="F301" s="195"/>
      <c r="G301" s="30" t="str">
        <f>VLOOKUP($A301,Questions!$A$2:$X$333,21,0)&amp;""</f>
        <v>Yes</v>
      </c>
      <c r="H301" s="185"/>
      <c r="I301" s="45" t="str">
        <f>VLOOKUP($A301,Questions!$A$2:$X$333,23,0)&amp;""</f>
        <v>Standard Importance</v>
      </c>
      <c r="J301" s="185"/>
      <c r="K301" s="48" t="b">
        <v>0</v>
      </c>
      <c r="L301" s="1"/>
    </row>
    <row r="302" spans="1:12" s="29" customFormat="1" ht="15" x14ac:dyDescent="0.2">
      <c r="A302" s="19" t="str">
        <f>'Case-Specific'!A79</f>
        <v>OPEM-04</v>
      </c>
      <c r="B302" s="20" t="str">
        <f>VLOOKUP($A302,'Case-Specific'!$A$13:$E$85,2,0)&amp;""</f>
        <v>Do you require remote management of the system?</v>
      </c>
      <c r="C302" s="45" t="str">
        <f>VLOOKUP($A302,'Case-Specific'!$A$13:$E$85,3,0)&amp;""</f>
        <v/>
      </c>
      <c r="D302" s="34" t="str">
        <f>IF(LEFT(VLOOKUP($A302,'Case-Specific'!$A$13:$E$85,5,0),21)='Auto Responses'!$A$32,'Auto Responses'!$A$33,VLOOKUP($A302,'Case-Specific'!$A$13:$E$85,4,0))&amp;""</f>
        <v/>
      </c>
      <c r="E302" s="330" t="str">
        <f>VLOOKUP($A302,'Case-Specific'!$A$13:$E$85,5,0)&amp;""</f>
        <v/>
      </c>
      <c r="F302" s="195"/>
      <c r="G302" s="30" t="str">
        <f>VLOOKUP($A302,Questions!$A$2:$X$333,21,0)&amp;""</f>
        <v>No</v>
      </c>
      <c r="H302" s="185"/>
      <c r="I302" s="45" t="str">
        <f>VLOOKUP($A302,Questions!$A$2:$X$333,23,0)&amp;""</f>
        <v>Standard Importance</v>
      </c>
      <c r="J302" s="185"/>
      <c r="K302" s="48" t="b">
        <v>0</v>
      </c>
      <c r="L302" s="1"/>
    </row>
    <row r="303" spans="1:12" s="29" customFormat="1" ht="28.5" x14ac:dyDescent="0.2">
      <c r="A303" s="19" t="str">
        <f>'Case-Specific'!A80</f>
        <v>OPEM-05</v>
      </c>
      <c r="B303" s="20" t="str">
        <f>VLOOKUP($A303,'Case-Specific'!$A$13:$E$85,2,0)&amp;""</f>
        <v>If you answered "yes" to OPEM-04, are your remote actions and changes logged or otherwise visible to the campus?</v>
      </c>
      <c r="C303" s="45" t="str">
        <f>VLOOKUP($A303,'Case-Specific'!$A$13:$E$85,3,0)&amp;""</f>
        <v/>
      </c>
      <c r="D303" s="34" t="str">
        <f>IF(LEFT(VLOOKUP($A303,'Case-Specific'!$A$13:$E$85,5,0),21)='Auto Responses'!$A$32,'Auto Responses'!$A$33,VLOOKUP($A303,'Case-Specific'!$A$13:$E$85,4,0))&amp;""</f>
        <v/>
      </c>
      <c r="E303" s="330" t="str">
        <f>VLOOKUP($A303,'Case-Specific'!$A$13:$E$85,5,0)&amp;""</f>
        <v/>
      </c>
      <c r="F303" s="195"/>
      <c r="G303" s="30" t="str">
        <f>VLOOKUP($A303,Questions!$A$2:$X$333,21,0)&amp;""</f>
        <v>Yes</v>
      </c>
      <c r="H303" s="185"/>
      <c r="I303" s="45" t="str">
        <f>VLOOKUP($A303,Questions!$A$2:$X$333,23,0)&amp;""</f>
        <v>Standard Importance</v>
      </c>
      <c r="J303" s="185"/>
      <c r="K303" s="48" t="b">
        <v>0</v>
      </c>
      <c r="L303" s="1"/>
    </row>
    <row r="304" spans="1:12" s="29" customFormat="1" ht="28.5" x14ac:dyDescent="0.2">
      <c r="A304" s="19" t="str">
        <f>'Case-Specific'!A81</f>
        <v>OPEM-06</v>
      </c>
      <c r="B304" s="20" t="str">
        <f>VLOOKUP($A304,'Case-Specific'!$A$13:$E$85,2,0)&amp;""</f>
        <v>If you maintain remote access to the system, will you handle data in a FERPA-compliant manner?</v>
      </c>
      <c r="C304" s="45" t="str">
        <f>VLOOKUP($A304,'Case-Specific'!$A$13:$E$85,3,0)&amp;""</f>
        <v/>
      </c>
      <c r="D304" s="34" t="str">
        <f>IF(LEFT(VLOOKUP($A304,'Case-Specific'!$A$13:$E$85,5,0),21)='Auto Responses'!$A$32,'Auto Responses'!$A$33,VLOOKUP($A304,'Case-Specific'!$A$13:$E$85,4,0))&amp;""</f>
        <v/>
      </c>
      <c r="E304" s="330" t="str">
        <f>VLOOKUP($A304,'Case-Specific'!$A$13:$E$85,5,0)&amp;""</f>
        <v/>
      </c>
      <c r="F304" s="195"/>
      <c r="G304" s="30" t="str">
        <f>VLOOKUP($A304,Questions!$A$2:$X$333,21,0)&amp;""</f>
        <v>Yes</v>
      </c>
      <c r="H304" s="185"/>
      <c r="I304" s="45" t="str">
        <f>VLOOKUP($A304,Questions!$A$2:$X$333,23,0)&amp;""</f>
        <v>Standard Importance</v>
      </c>
      <c r="J304" s="185"/>
      <c r="K304" s="48" t="b">
        <v>0</v>
      </c>
      <c r="L304" s="1"/>
    </row>
    <row r="305" spans="1:12" s="29" customFormat="1" ht="28.5" x14ac:dyDescent="0.2">
      <c r="A305" s="19" t="str">
        <f>'Case-Specific'!A82</f>
        <v>OPEM-07</v>
      </c>
      <c r="B305" s="20" t="str">
        <f>VLOOKUP($A305,'Case-Specific'!$A$13:$E$85,2,0)&amp;""</f>
        <v>Do you support campus status monitoring through SNMPv3 or other means?</v>
      </c>
      <c r="C305" s="45" t="str">
        <f>VLOOKUP($A305,'Case-Specific'!$A$13:$E$85,3,0)&amp;""</f>
        <v/>
      </c>
      <c r="D305" s="34" t="str">
        <f>IF(LEFT(VLOOKUP($A305,'Case-Specific'!$A$13:$E$85,5,0),21)='Auto Responses'!$A$32,'Auto Responses'!$A$33,VLOOKUP($A305,'Case-Specific'!$A$13:$E$85,4,0))&amp;""</f>
        <v/>
      </c>
      <c r="E305" s="332" t="str">
        <f>VLOOKUP($A305,'Case-Specific'!$A$13:$E$85,5,0)&amp;""</f>
        <v/>
      </c>
      <c r="F305" s="195"/>
      <c r="G305" s="30" t="str">
        <f>VLOOKUP($A305,Questions!$A$2:$X$333,21,0)&amp;""</f>
        <v>Yes</v>
      </c>
      <c r="H305" s="185"/>
      <c r="I305" s="45" t="str">
        <f>VLOOKUP($A305,Questions!$A$2:$X$333,23,0)&amp;""</f>
        <v>Standard Importance</v>
      </c>
      <c r="J305" s="185"/>
      <c r="K305" s="48" t="b">
        <v>0</v>
      </c>
      <c r="L305" s="1"/>
    </row>
    <row r="306" spans="1:12" s="29" customFormat="1" ht="30" x14ac:dyDescent="0.2">
      <c r="A306" s="19" t="str">
        <f>'Case-Specific'!A83</f>
        <v>OPEM-08</v>
      </c>
      <c r="B306" s="20" t="str">
        <f>VLOOKUP($A306,'Case-Specific'!$A$13:$E$85,2,0)&amp;""</f>
        <v>Describe or provide a reference to any other safeguards used to monitor for malicious activity.</v>
      </c>
      <c r="C306" s="305" t="str">
        <f>VLOOKUP($A306,'Case-Specific'!$A$13:$E$85,3,0)&amp;""</f>
        <v/>
      </c>
      <c r="D306" s="306" t="str">
        <f>IF(LEFT(VLOOKUP($A306,'Case-Specific'!$A$13:$E$85,5,0),21)='Auto Responses'!$A$32,'Auto Responses'!$A$33,VLOOKUP($A306,'Case-Specific'!$A$13:$E$85,4,0))&amp;""</f>
        <v/>
      </c>
      <c r="E306" s="332" t="str">
        <f>VLOOKUP($A306,'Case-Specific'!$A$13:$E$85,5,0)&amp;""</f>
        <v>Please detail your monitoring strategy</v>
      </c>
      <c r="F306" s="195"/>
      <c r="G306" s="30" t="str">
        <f>VLOOKUP($A306,Questions!$A$2:$X$333,21,0)&amp;""</f>
        <v>Not scored</v>
      </c>
      <c r="H306" s="185"/>
      <c r="I306" s="45" t="str">
        <f>VLOOKUP($A306,Questions!$A$2:$X$333,23,0)&amp;""</f>
        <v/>
      </c>
      <c r="J306" s="185"/>
      <c r="K306" s="48" t="b">
        <v>0</v>
      </c>
      <c r="L306" s="1"/>
    </row>
    <row r="307" spans="1:12" s="29" customFormat="1" ht="45" x14ac:dyDescent="0.2">
      <c r="A307" s="19" t="str">
        <f>'Case-Specific'!A84</f>
        <v>OPEM-09</v>
      </c>
      <c r="B307" s="20" t="str">
        <f>VLOOKUP($A307,'Case-Specific'!$A$13:$E$85,2,0)&amp;""</f>
        <v>Describe how long your organization has conducted business in this area.</v>
      </c>
      <c r="C307" s="305" t="str">
        <f>VLOOKUP($A307,'Case-Specific'!$A$13:$E$85,3,0)&amp;""</f>
        <v/>
      </c>
      <c r="D307" s="306" t="str">
        <f>IF(LEFT(VLOOKUP($A307,'Case-Specific'!$A$13:$E$85,5,0),21)='Auto Responses'!$A$32,'Auto Responses'!$A$33,VLOOKUP($A307,'Case-Specific'!$A$13:$E$85,4,0))&amp;""</f>
        <v/>
      </c>
      <c r="E307" s="332" t="str">
        <f>VLOOKUP($A307,'Case-Specific'!$A$13:$E$85,5,0)&amp;""</f>
        <v>Include the number of years and in what capacity.</v>
      </c>
      <c r="F307" s="195"/>
      <c r="G307" s="30" t="str">
        <f>VLOOKUP($A307,Questions!$A$2:$X$333,21,0)&amp;""</f>
        <v>Not scored</v>
      </c>
      <c r="H307" s="185"/>
      <c r="I307" s="45" t="str">
        <f>VLOOKUP($A307,Questions!$A$2:$X$333,23,0)&amp;""</f>
        <v/>
      </c>
      <c r="J307" s="185"/>
      <c r="K307" s="48" t="b">
        <v>0</v>
      </c>
      <c r="L307" s="1"/>
    </row>
    <row r="308" spans="1:12" s="29" customFormat="1" ht="15.75" thickBot="1" x14ac:dyDescent="0.25">
      <c r="A308" s="19" t="str">
        <f>'Case-Specific'!A85</f>
        <v>OPEM-10</v>
      </c>
      <c r="B308" s="20" t="str">
        <f>VLOOKUP($A308,'Case-Specific'!$A$13:$E$85,2,0)&amp;""</f>
        <v>Do you have existing higher education customers?</v>
      </c>
      <c r="C308" s="45" t="str">
        <f>VLOOKUP($A308,'Case-Specific'!$A$13:$E$85,3,0)&amp;""</f>
        <v/>
      </c>
      <c r="D308" s="34" t="str">
        <f>IF(LEFT(VLOOKUP($A308,'Case-Specific'!$A$13:$E$85,5,0),21)='Auto Responses'!$A$32,'Auto Responses'!$A$33,VLOOKUP($A308,'Case-Specific'!$A$13:$E$85,4,0))&amp;""</f>
        <v/>
      </c>
      <c r="E308" s="332" t="str">
        <f>VLOOKUP($A308,'Case-Specific'!$A$13:$E$85,5,0)&amp;""</f>
        <v/>
      </c>
      <c r="F308" s="195"/>
      <c r="G308" s="30" t="str">
        <f>VLOOKUP($A308,Questions!$A$2:$X$333,21,0)&amp;""</f>
        <v>Yes</v>
      </c>
      <c r="H308" s="185"/>
      <c r="I308" s="45" t="str">
        <f>VLOOKUP($A308,Questions!$A$2:$X$333,23,0)&amp;""</f>
        <v>Minor Importance</v>
      </c>
      <c r="J308" s="185"/>
      <c r="K308" s="49" t="b">
        <v>0</v>
      </c>
      <c r="L308" s="1"/>
    </row>
    <row r="309" spans="1:12" s="1" customFormat="1" ht="18" x14ac:dyDescent="0.2">
      <c r="A309" s="63" t="str">
        <f>VLOOKUP(LEFT($A310,4),'Auto Responses'!$N$4:$O$38,2,0)&amp;""</f>
        <v xml:space="preserve"> AI Qualifying Questions</v>
      </c>
      <c r="B309" s="22"/>
      <c r="C309" s="31"/>
      <c r="D309" s="31"/>
      <c r="E309" s="331"/>
      <c r="F309" s="131" t="s">
        <v>1030</v>
      </c>
      <c r="G309" s="335" t="s">
        <v>869</v>
      </c>
      <c r="H309" s="335" t="s">
        <v>871</v>
      </c>
      <c r="I309" s="335" t="s">
        <v>19</v>
      </c>
      <c r="J309" s="335" t="s">
        <v>856</v>
      </c>
      <c r="K309" s="335" t="s">
        <v>867</v>
      </c>
    </row>
    <row r="310" spans="1:12" s="29" customFormat="1" ht="150" x14ac:dyDescent="0.2">
      <c r="A310" s="19" t="str">
        <f>AI!$A$20</f>
        <v>AIQU-01</v>
      </c>
      <c r="B310" s="20" t="str">
        <f>VLOOKUP($A310,AI!$A$13:$E$55,2,0)&amp;""</f>
        <v>Does your solution leverage machine learning (ML) or do you plan to do so in the next 12 months?</v>
      </c>
      <c r="C310" s="45" t="str">
        <f>VLOOKUP($A310,AI!$A$13:$E$55,3,0)&amp;""</f>
        <v/>
      </c>
      <c r="D310" s="34" t="str">
        <f>IF(LEFT(VLOOKUP($A310,AI!$A$13:$E$55,5,0),21)='Auto Responses'!$A$32,'Auto Responses'!$A$33,VLOOKUP($A310,AI!$A$13:$E$55,4,0))&amp;""</f>
        <v/>
      </c>
      <c r="E310" s="330" t="str">
        <f>VLOOKUP($A310,AI!$A$13:$E$55,5,0)&amp;""</f>
        <v>Answer "yes" even if you do not create your own machine learning solutions, and answer the questions as they apply to your contractual relationship with the third party you utilize.</v>
      </c>
      <c r="F310" s="195"/>
      <c r="G310" s="30" t="str">
        <f>VLOOKUP($A310,Questions!$A$2:$X$333,21,0)&amp;""</f>
        <v>Not scored</v>
      </c>
      <c r="H310" s="185"/>
      <c r="I310" s="45" t="str">
        <f>VLOOKUP($A310,Questions!$A$2:$X$333,23,0)&amp;""</f>
        <v/>
      </c>
      <c r="J310" s="185"/>
      <c r="K310" s="48" t="b">
        <v>0</v>
      </c>
      <c r="L310" s="1"/>
    </row>
    <row r="311" spans="1:12" s="29" customFormat="1" ht="120" x14ac:dyDescent="0.2">
      <c r="A311" s="19" t="str">
        <f>AI!$A$21</f>
        <v>AIQU-02</v>
      </c>
      <c r="B311" s="20" t="str">
        <f>VLOOKUP($A311,AI!$A$13:$E$55,2,0)&amp;""</f>
        <v>Does your solution leverage a large language model (LLM) or do you plan to do so in the next 12 months?</v>
      </c>
      <c r="C311" s="45" t="str">
        <f>VLOOKUP($A311,AI!$A$13:$E$55,3,0)&amp;""</f>
        <v/>
      </c>
      <c r="D311" s="34" t="str">
        <f>IF(LEFT(VLOOKUP($A311,AI!$A$13:$E$55,5,0),21)='Auto Responses'!$A$32,'Auto Responses'!$A$33,VLOOKUP($A311,AI!$A$13:$E$55,4,0))&amp;""</f>
        <v/>
      </c>
      <c r="E311" s="330" t="str">
        <f>VLOOKUP($A311,AI!$A$13:$E$55,5,0)&amp;""</f>
        <v>Answer "yes" even if you do not train your own LLM models, and answer the questions as they apply to your contractual relationship with the third party you utilize.</v>
      </c>
      <c r="F311" s="195"/>
      <c r="G311" s="30" t="str">
        <f>VLOOKUP($A311,Questions!$A$2:$X$333,21,0)&amp;""</f>
        <v>Not scored</v>
      </c>
      <c r="H311" s="185"/>
      <c r="I311" s="45" t="str">
        <f>VLOOKUP($A311,Questions!$A$2:$X$333,23,0)&amp;""</f>
        <v/>
      </c>
      <c r="J311" s="185"/>
      <c r="K311" s="48" t="b">
        <v>0</v>
      </c>
      <c r="L311" s="1"/>
    </row>
    <row r="312" spans="1:12" s="1" customFormat="1" ht="18" x14ac:dyDescent="0.2">
      <c r="A312" s="63" t="str">
        <f>VLOOKUP(LEFT($A313,4),'Auto Responses'!$N$4:$O$38,2,0)&amp;""</f>
        <v xml:space="preserve"> General AI Questions</v>
      </c>
      <c r="B312" s="22"/>
      <c r="C312" s="31"/>
      <c r="D312" s="31"/>
      <c r="E312" s="331"/>
      <c r="F312" s="131" t="s">
        <v>1030</v>
      </c>
      <c r="G312" s="335" t="s">
        <v>869</v>
      </c>
      <c r="H312" s="335" t="s">
        <v>871</v>
      </c>
      <c r="I312" s="335" t="s">
        <v>19</v>
      </c>
      <c r="J312" s="335" t="s">
        <v>856</v>
      </c>
      <c r="K312" s="335" t="s">
        <v>867</v>
      </c>
    </row>
    <row r="313" spans="1:12" s="29" customFormat="1" ht="60" x14ac:dyDescent="0.2">
      <c r="A313" s="19" t="str">
        <f>AI!$A$23</f>
        <v>AIGN-01</v>
      </c>
      <c r="B313" s="20" t="str">
        <f>VLOOKUP($A313,AI!$A$13:$E$55,2,0)&amp;""</f>
        <v>Does your solution have an AI risk model when developing or implementing your solution's AI model?*</v>
      </c>
      <c r="C313" s="45" t="str">
        <f>VLOOKUP($A313,AI!$A$13:$E$55,3,0)&amp;""</f>
        <v/>
      </c>
      <c r="D313" s="34" t="str">
        <f>IF(LEFT(VLOOKUP($A313,AI!$A$13:$E$55,5,0),21)='Auto Responses'!$A$32,'Auto Responses'!$A$33,VLOOKUP($A313,AI!$A$13:$E$55,4,0))&amp;""</f>
        <v/>
      </c>
      <c r="E313" s="330" t="str">
        <f>VLOOKUP($A313,AI!$A$13:$E$55,5,0)&amp;""</f>
        <v>Examples include NIST AI RMF, OWASP Top 10, RAFT, and MITRE ATLAS.</v>
      </c>
      <c r="F313" s="195"/>
      <c r="G313" s="30" t="str">
        <f>VLOOKUP($A313,Questions!$A$2:$X$333,21,0)&amp;""</f>
        <v>Yes</v>
      </c>
      <c r="H313" s="185"/>
      <c r="I313" s="45" t="str">
        <f>VLOOKUP($A313,Questions!$A$2:$X$333,23,0)&amp;""</f>
        <v>Critical Importance</v>
      </c>
      <c r="J313" s="185"/>
      <c r="K313" s="48" t="b">
        <v>0</v>
      </c>
      <c r="L313" s="1"/>
    </row>
    <row r="314" spans="1:12" s="29" customFormat="1" ht="15" x14ac:dyDescent="0.2">
      <c r="A314" s="19" t="str">
        <f>AI!$A$24</f>
        <v>AIGN-02</v>
      </c>
      <c r="B314" s="20" t="str">
        <f>VLOOKUP($A314,AI!$A$13:$E$55,2,0)&amp;""</f>
        <v>Can your solution's AI features be disabled by tenant and/or user?*</v>
      </c>
      <c r="C314" s="45" t="str">
        <f>VLOOKUP($A314,AI!$A$13:$E$55,3,0)&amp;""</f>
        <v/>
      </c>
      <c r="D314" s="34" t="str">
        <f>IF(LEFT(VLOOKUP($A314,AI!$A$13:$E$55,5,0),21)='Auto Responses'!$A$32,'Auto Responses'!$A$33,VLOOKUP($A314,AI!$A$13:$E$55,4,0))&amp;""</f>
        <v/>
      </c>
      <c r="E314" s="330" t="str">
        <f>VLOOKUP($A314,AI!$A$13:$E$55,5,0)&amp;""</f>
        <v/>
      </c>
      <c r="F314" s="195"/>
      <c r="G314" s="30" t="str">
        <f>VLOOKUP($A314,Questions!$A$2:$X$333,21,0)&amp;""</f>
        <v>Yes</v>
      </c>
      <c r="H314" s="185"/>
      <c r="I314" s="45" t="str">
        <f>VLOOKUP($A314,Questions!$A$2:$X$333,23,0)&amp;""</f>
        <v>Critical Importance</v>
      </c>
      <c r="J314" s="185"/>
      <c r="K314" s="48" t="b">
        <v>0</v>
      </c>
      <c r="L314" s="1"/>
    </row>
    <row r="315" spans="1:12" s="29" customFormat="1" ht="15" x14ac:dyDescent="0.2">
      <c r="A315" s="19" t="str">
        <f>AI!$A$25</f>
        <v>AIGN-03</v>
      </c>
      <c r="B315" s="20" t="str">
        <f>VLOOKUP($A315,AI!$A$13:$E$55,2,0)&amp;""</f>
        <v>Have your staff completed responsible AI training?*</v>
      </c>
      <c r="C315" s="45" t="str">
        <f>VLOOKUP($A315,AI!$A$13:$E$55,3,0)&amp;""</f>
        <v/>
      </c>
      <c r="D315" s="34" t="str">
        <f>IF(LEFT(VLOOKUP($A315,AI!$A$13:$E$55,5,0),21)='Auto Responses'!$A$32,'Auto Responses'!$A$33,VLOOKUP($A315,AI!$A$13:$E$55,4,0))&amp;""</f>
        <v/>
      </c>
      <c r="E315" s="330" t="str">
        <f>VLOOKUP($A315,AI!$A$13:$E$55,5,0)&amp;""</f>
        <v/>
      </c>
      <c r="F315" s="195"/>
      <c r="G315" s="30" t="str">
        <f>VLOOKUP($A315,Questions!$A$2:$X$333,21,0)&amp;""</f>
        <v>Yes</v>
      </c>
      <c r="H315" s="185"/>
      <c r="I315" s="45" t="str">
        <f>VLOOKUP($A315,Questions!$A$2:$X$333,23,0)&amp;""</f>
        <v>Critical Importance</v>
      </c>
      <c r="J315" s="185"/>
      <c r="K315" s="48" t="b">
        <v>0</v>
      </c>
      <c r="L315" s="1"/>
    </row>
    <row r="316" spans="1:12" s="29" customFormat="1" ht="195" x14ac:dyDescent="0.2">
      <c r="A316" s="19" t="str">
        <f>AI!$A$26</f>
        <v>AIGN-04</v>
      </c>
      <c r="B316" s="20" t="str">
        <f>VLOOKUP($A316,AI!$A$13:$E$55,2,0)&amp;""</f>
        <v>Please describe the capabilities of your solution's AI features.</v>
      </c>
      <c r="C316" s="305" t="str">
        <f>VLOOKUP($A316,AI!$A$13:$E$55,3,0)&amp;""</f>
        <v/>
      </c>
      <c r="D316" s="306" t="str">
        <f>IF(LEFT(VLOOKUP($A316,AI!$A$13:$E$55,5,0),21)='Auto Responses'!$A$32,'Auto Responses'!$A$33,VLOOKUP($A316,AI!$A$13:$E$55,4,0))&amp;""</f>
        <v/>
      </c>
      <c r="E316" s="330" t="str">
        <f>VLOOKUP($A316,AI!$A$13:$E$55,5,0)&amp;""</f>
        <v>Describe capabilities such as content (text, image, audio, speech, video, or code) generation, visual interpretation, and predictive analytics. This encompasses all AI implementations, including third-party AI features. Clarify use cases or limits of the model.</v>
      </c>
      <c r="F316" s="195"/>
      <c r="G316" s="30" t="str">
        <f>VLOOKUP($A316,Questions!$A$2:$X$333,21,0)&amp;""</f>
        <v>Not scored</v>
      </c>
      <c r="H316" s="185"/>
      <c r="I316" s="45" t="str">
        <f>VLOOKUP($A316,Questions!$A$2:$X$333,23,0)&amp;""</f>
        <v/>
      </c>
      <c r="J316" s="185"/>
      <c r="K316" s="48" t="b">
        <v>0</v>
      </c>
      <c r="L316" s="1"/>
    </row>
    <row r="317" spans="1:12" s="29" customFormat="1" ht="28.5" x14ac:dyDescent="0.2">
      <c r="A317" s="19" t="str">
        <f>AI!$A$27</f>
        <v>AIGN-05</v>
      </c>
      <c r="B317" s="20" t="str">
        <f>VLOOKUP($A317,AI!$A$13:$E$55,2,0)&amp;""</f>
        <v>Does your solution support business rules to protect sensitive data from being ingested by the AI model?</v>
      </c>
      <c r="C317" s="45" t="str">
        <f>VLOOKUP($A317,AI!$A$13:$E$55,3,0)&amp;""</f>
        <v/>
      </c>
      <c r="D317" s="34" t="str">
        <f>IF(LEFT(VLOOKUP($A317,AI!$A$13:$E$55,5,0),21)='Auto Responses'!$A$32,'Auto Responses'!$A$33,VLOOKUP($A317,AI!$A$13:$E$55,4,0))&amp;""</f>
        <v/>
      </c>
      <c r="E317" s="330" t="str">
        <f>VLOOKUP($A317,AI!$A$13:$E$55,5,0)&amp;""</f>
        <v/>
      </c>
      <c r="F317" s="195"/>
      <c r="G317" s="30" t="str">
        <f>VLOOKUP($A317,Questions!$A$2:$X$333,21,0)&amp;""</f>
        <v>Yes</v>
      </c>
      <c r="H317" s="185"/>
      <c r="I317" s="45" t="str">
        <f>VLOOKUP($A317,Questions!$A$2:$X$333,23,0)&amp;""</f>
        <v>Standard Importance</v>
      </c>
      <c r="J317" s="185"/>
      <c r="K317" s="48" t="b">
        <v>0</v>
      </c>
      <c r="L317" s="1"/>
    </row>
    <row r="318" spans="1:12" s="1" customFormat="1" ht="18" x14ac:dyDescent="0.2">
      <c r="A318" s="63" t="str">
        <f>VLOOKUP(LEFT($A319,4),'Auto Responses'!$N$4:$O$38,2,0)&amp;""</f>
        <v xml:space="preserve"> AI Policy</v>
      </c>
      <c r="B318" s="22"/>
      <c r="C318" s="31"/>
      <c r="D318" s="31"/>
      <c r="E318" s="331"/>
      <c r="F318" s="131" t="s">
        <v>1030</v>
      </c>
      <c r="G318" s="335" t="s">
        <v>869</v>
      </c>
      <c r="H318" s="335" t="s">
        <v>871</v>
      </c>
      <c r="I318" s="335" t="s">
        <v>19</v>
      </c>
      <c r="J318" s="335" t="s">
        <v>856</v>
      </c>
      <c r="K318" s="335" t="s">
        <v>867</v>
      </c>
    </row>
    <row r="319" spans="1:12" s="29" customFormat="1" ht="57" x14ac:dyDescent="0.2">
      <c r="A319" s="19" t="str">
        <f>AI!$A$29</f>
        <v>AIPL-01</v>
      </c>
      <c r="B319" s="20" t="str">
        <f>VLOOKUP($A319,AI!$A$13:$E$55,2,0)&amp;""</f>
        <v>Are your AI developer's policies, processes, procedures, and practices across the organization related to the mapping, measuring, and managing of AI risks conspicuously posted, unambiguous, and implemented effectively?*</v>
      </c>
      <c r="C319" s="45" t="str">
        <f>VLOOKUP($A319,AI!$A$13:$E$55,3,0)&amp;""</f>
        <v/>
      </c>
      <c r="D319" s="34" t="str">
        <f>IF(LEFT(VLOOKUP($A319,AI!$A$13:$E$55,5,0),21)='Auto Responses'!$A$32,'Auto Responses'!$A$33,VLOOKUP($A319,AI!$A$13:$E$55,4,0))&amp;""</f>
        <v/>
      </c>
      <c r="E319" s="330" t="str">
        <f>VLOOKUP($A319,AI!$A$13:$E$55,5,0)&amp;""</f>
        <v/>
      </c>
      <c r="F319" s="195"/>
      <c r="G319" s="30" t="str">
        <f>VLOOKUP($A319,Questions!$A$2:$X$333,21,0)&amp;""</f>
        <v>Yes</v>
      </c>
      <c r="H319" s="185"/>
      <c r="I319" s="45" t="str">
        <f>VLOOKUP($A319,Questions!$A$2:$X$333,23,0)&amp;""</f>
        <v>Critical Importance</v>
      </c>
      <c r="J319" s="185"/>
      <c r="K319" s="48" t="b">
        <v>0</v>
      </c>
      <c r="L319" s="1"/>
    </row>
    <row r="320" spans="1:12" s="29" customFormat="1" ht="15" x14ac:dyDescent="0.2">
      <c r="A320" s="19" t="str">
        <f>AI!$A$30</f>
        <v>AIPL-02</v>
      </c>
      <c r="B320" s="20" t="str">
        <f>VLOOKUP($A320,AI!$A$13:$E$55,2,0)&amp;""</f>
        <v>Have you identified and measured AI risks?*</v>
      </c>
      <c r="C320" s="45" t="str">
        <f>VLOOKUP($A320,AI!$A$13:$E$55,3,0)&amp;""</f>
        <v/>
      </c>
      <c r="D320" s="34" t="str">
        <f>IF(LEFT(VLOOKUP($A320,AI!$A$13:$E$55,5,0),21)='Auto Responses'!$A$32,'Auto Responses'!$A$33,VLOOKUP($A320,AI!$A$13:$E$55,4,0))&amp;""</f>
        <v/>
      </c>
      <c r="E320" s="330" t="str">
        <f>VLOOKUP($A320,AI!$A$13:$E$55,5,0)&amp;""</f>
        <v/>
      </c>
      <c r="F320" s="195"/>
      <c r="G320" s="30" t="str">
        <f>VLOOKUP($A320,Questions!$A$2:$X$333,21,0)&amp;""</f>
        <v>Yes</v>
      </c>
      <c r="H320" s="185"/>
      <c r="I320" s="45" t="str">
        <f>VLOOKUP($A320,Questions!$A$2:$X$333,23,0)&amp;""</f>
        <v>Critical Importance</v>
      </c>
      <c r="J320" s="185"/>
      <c r="K320" s="48" t="b">
        <v>0</v>
      </c>
      <c r="L320" s="1"/>
    </row>
    <row r="321" spans="1:12" s="29" customFormat="1" ht="28.5" x14ac:dyDescent="0.2">
      <c r="A321" s="19" t="str">
        <f>AI!$A$31</f>
        <v>AIPL-03</v>
      </c>
      <c r="B321" s="20" t="str">
        <f>VLOOKUP($A321,AI!$A$13:$E$55,2,0)&amp;""</f>
        <v>In the event of an incident, can your solution's AI features be disabled in a timely manner?*</v>
      </c>
      <c r="C321" s="45" t="str">
        <f>VLOOKUP($A321,AI!$A$13:$E$55,3,0)&amp;""</f>
        <v/>
      </c>
      <c r="D321" s="34" t="str">
        <f>IF(LEFT(VLOOKUP($A321,AI!$A$13:$E$55,5,0),21)='Auto Responses'!$A$32,'Auto Responses'!$A$33,VLOOKUP($A321,AI!$A$13:$E$55,4,0))&amp;""</f>
        <v/>
      </c>
      <c r="E321" s="330" t="str">
        <f>VLOOKUP($A321,AI!$A$13:$E$55,5,0)&amp;""</f>
        <v/>
      </c>
      <c r="F321" s="195"/>
      <c r="G321" s="30" t="str">
        <f>VLOOKUP($A321,Questions!$A$2:$X$333,21,0)&amp;""</f>
        <v>Yes</v>
      </c>
      <c r="H321" s="185"/>
      <c r="I321" s="45" t="str">
        <f>VLOOKUP($A321,Questions!$A$2:$X$333,23,0)&amp;""</f>
        <v>Critical Importance</v>
      </c>
      <c r="J321" s="185"/>
      <c r="K321" s="48" t="b">
        <v>0</v>
      </c>
      <c r="L321" s="1"/>
    </row>
    <row r="322" spans="1:12" s="29" customFormat="1" ht="28.5" x14ac:dyDescent="0.2">
      <c r="A322" s="19" t="str">
        <f>AI!$A$32</f>
        <v>AIPL-04</v>
      </c>
      <c r="B322" s="20" t="str">
        <f>VLOOKUP($A322,AI!$A$13:$E$55,2,0)&amp;""</f>
        <v>If disabled because of an incident, can your solution's AI features be re-enabled in a timely manner?*</v>
      </c>
      <c r="C322" s="45" t="str">
        <f>VLOOKUP($A322,AI!$A$13:$E$55,3,0)&amp;""</f>
        <v/>
      </c>
      <c r="D322" s="34" t="str">
        <f>IF(LEFT(VLOOKUP($A322,AI!$A$13:$E$55,5,0),21)='Auto Responses'!$A$32,'Auto Responses'!$A$33,VLOOKUP($A322,AI!$A$13:$E$55,4,0))&amp;""</f>
        <v/>
      </c>
      <c r="E322" s="330" t="str">
        <f>VLOOKUP($A322,AI!$A$13:$E$55,5,0)&amp;""</f>
        <v/>
      </c>
      <c r="F322" s="195"/>
      <c r="G322" s="30" t="str">
        <f>VLOOKUP($A322,Questions!$A$2:$X$333,21,0)&amp;""</f>
        <v>Yes</v>
      </c>
      <c r="H322" s="185"/>
      <c r="I322" s="45" t="str">
        <f>VLOOKUP($A322,Questions!$A$2:$X$333,23,0)&amp;""</f>
        <v>Critical Importance</v>
      </c>
      <c r="J322" s="185"/>
      <c r="K322" s="48" t="b">
        <v>0</v>
      </c>
      <c r="L322" s="1"/>
    </row>
    <row r="323" spans="1:12" s="29" customFormat="1" ht="45" x14ac:dyDescent="0.2">
      <c r="A323" s="19" t="str">
        <f>AI!$A$33</f>
        <v>AIPL-05</v>
      </c>
      <c r="B323" s="20" t="str">
        <f>VLOOKUP($A323,AI!$A$13:$E$55,2,0)&amp;""</f>
        <v>Do you have documented technical and procedural processes to address potential negative impacts of AI as described by the AI Risk Management Framework (RMF)?</v>
      </c>
      <c r="C323" s="45" t="str">
        <f>VLOOKUP($A323,AI!$A$13:$E$55,3,0)&amp;""</f>
        <v/>
      </c>
      <c r="D323" s="34" t="str">
        <f>IF(LEFT(VLOOKUP($A323,AI!$A$13:$E$55,5,0),21)='Auto Responses'!$A$32,'Auto Responses'!$A$33,VLOOKUP($A323,AI!$A$13:$E$55,4,0))&amp;""</f>
        <v/>
      </c>
      <c r="E323" s="330" t="str">
        <f>VLOOKUP($A323,AI!$A$13:$E$55,5,0)&amp;""</f>
        <v>Responsible AI development per NIST AI RMF, page 25.</v>
      </c>
      <c r="F323" s="195"/>
      <c r="G323" s="30" t="str">
        <f>VLOOKUP($A323,Questions!$A$2:$X$333,21,0)&amp;""</f>
        <v>Yes</v>
      </c>
      <c r="H323" s="185"/>
      <c r="I323" s="45" t="str">
        <f>VLOOKUP($A323,Questions!$A$2:$X$333,23,0)&amp;""</f>
        <v>Minor Importance</v>
      </c>
      <c r="J323" s="185"/>
      <c r="K323" s="48" t="b">
        <v>0</v>
      </c>
      <c r="L323" s="1"/>
    </row>
    <row r="324" spans="1:12" s="1" customFormat="1" ht="18" x14ac:dyDescent="0.2">
      <c r="A324" s="63" t="str">
        <f>VLOOKUP(LEFT($A325,4),'Auto Responses'!$N$4:$O$38,2,0)&amp;""</f>
        <v xml:space="preserve"> AI Data Security</v>
      </c>
      <c r="B324" s="22"/>
      <c r="C324" s="31"/>
      <c r="D324" s="31"/>
      <c r="E324" s="331"/>
      <c r="F324" s="131" t="s">
        <v>1030</v>
      </c>
      <c r="G324" s="335" t="s">
        <v>869</v>
      </c>
      <c r="H324" s="335" t="s">
        <v>871</v>
      </c>
      <c r="I324" s="335" t="s">
        <v>19</v>
      </c>
      <c r="J324" s="335" t="s">
        <v>856</v>
      </c>
      <c r="K324" s="335" t="s">
        <v>867</v>
      </c>
    </row>
    <row r="325" spans="1:12" s="29" customFormat="1" ht="315" x14ac:dyDescent="0.2">
      <c r="A325" s="19" t="str">
        <f>AI!$A$35</f>
        <v>AISC-01</v>
      </c>
      <c r="B325" s="20" t="str">
        <f>VLOOKUP($A325,AI!$A$13:$E$55,2,0)&amp;""</f>
        <v>If sensitive data is introduced to your solution's AI model, can the data be removed from the AI model by request?*</v>
      </c>
      <c r="C325" s="45" t="str">
        <f>VLOOKUP($A325,AI!$A$13:$E$55,3,0)&amp;""</f>
        <v/>
      </c>
      <c r="D325" s="34" t="str">
        <f>IF(LEFT(VLOOKUP($A325,AI!$A$13:$E$55,5,0),21)='Auto Responses'!$A$32,'Auto Responses'!$A$33,VLOOKUP($A325,AI!$A$13:$E$55,4,0))&amp;""</f>
        <v/>
      </c>
      <c r="E325" s="330" t="str">
        <f>VLOOKUP($A325,AI!$A$13:$E$55,5,0)&amp;""</f>
        <v>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v>
      </c>
      <c r="F325" s="195"/>
      <c r="G325" s="30" t="str">
        <f>VLOOKUP($A325,Questions!$A$2:$X$333,21,0)&amp;""</f>
        <v>Yes</v>
      </c>
      <c r="H325" s="185"/>
      <c r="I325" s="45" t="str">
        <f>VLOOKUP($A325,Questions!$A$2:$X$333,23,0)&amp;""</f>
        <v>Critical Importance</v>
      </c>
      <c r="J325" s="185"/>
      <c r="K325" s="48" t="b">
        <v>0</v>
      </c>
      <c r="L325" s="1"/>
    </row>
    <row r="326" spans="1:12" s="29" customFormat="1" ht="210" x14ac:dyDescent="0.2">
      <c r="A326" s="19" t="str">
        <f>AI!$A$36</f>
        <v>AISC-02</v>
      </c>
      <c r="B326" s="20" t="str">
        <f>VLOOKUP($A326,AI!$A$13:$E$55,2,0)&amp;""</f>
        <v>Is user input data used to influence your solution's AI model?*</v>
      </c>
      <c r="C326" s="45" t="str">
        <f>VLOOKUP($A326,AI!$A$13:$E$55,3,0)&amp;""</f>
        <v/>
      </c>
      <c r="D326" s="34" t="str">
        <f>IF(LEFT(VLOOKUP($A326,AI!$A$13:$E$55,5,0),21)='Auto Responses'!$A$32,'Auto Responses'!$A$33,VLOOKUP($A326,AI!$A$13:$E$55,4,0))&amp;""</f>
        <v/>
      </c>
      <c r="E326" s="330" t="str">
        <f>VLOOKUP($A326,AI!$A$13:$E$55,5,0)&amp;""</f>
        <v>Please answer based on whether your solution uses user input data (e.g., prompts, uploads, queries) to fine-tune, train, or otherwise influence the behavior of your AI model. Consider any use of user data for model improvement, personalization, or aggregated learning.</v>
      </c>
      <c r="F326" s="195"/>
      <c r="G326" s="30" t="str">
        <f>VLOOKUP($A326,Questions!$A$2:$X$333,21,0)&amp;""</f>
        <v>No</v>
      </c>
      <c r="H326" s="185"/>
      <c r="I326" s="45" t="str">
        <f>VLOOKUP($A326,Questions!$A$2:$X$333,23,0)&amp;""</f>
        <v>Critical Importance</v>
      </c>
      <c r="J326" s="185"/>
      <c r="K326" s="48" t="b">
        <v>0</v>
      </c>
      <c r="L326" s="1"/>
    </row>
    <row r="327" spans="1:12" s="29" customFormat="1" ht="210" x14ac:dyDescent="0.2">
      <c r="A327" s="19" t="str">
        <f>AI!$A$37</f>
        <v>AISC-03</v>
      </c>
      <c r="B327" s="20" t="str">
        <f>VLOOKUP($A327,AI!$A$13:$E$55,2,0)&amp;""</f>
        <v>Do you provide logging for your solution's AI feature(s) that includes user, date, and action taken?*</v>
      </c>
      <c r="C327" s="45" t="str">
        <f>VLOOKUP($A327,AI!$A$13:$E$55,3,0)&amp;""</f>
        <v/>
      </c>
      <c r="D327" s="34" t="str">
        <f>IF(LEFT(VLOOKUP($A327,AI!$A$13:$E$55,5,0),21)='Auto Responses'!$A$32,'Auto Responses'!$A$33,VLOOKUP($A327,AI!$A$13:$E$55,4,0))&amp;""</f>
        <v/>
      </c>
      <c r="E327" s="330" t="str">
        <f>VLOOKUP($A327,AI!$A$13:$E$55,5,0)&amp;""</f>
        <v>Please answer based on whether your AI features generate audit logs that record user identity, timestamp, and actions taken. Include log retention, immutability, access for administrators or auditors, and how logs support compliance and incident response.</v>
      </c>
      <c r="F327" s="195"/>
      <c r="G327" s="30" t="str">
        <f>VLOOKUP($A327,Questions!$A$2:$X$333,21,0)&amp;""</f>
        <v>Yes</v>
      </c>
      <c r="H327" s="185"/>
      <c r="I327" s="45" t="str">
        <f>VLOOKUP($A327,Questions!$A$2:$X$333,23,0)&amp;""</f>
        <v>Critical Importance</v>
      </c>
      <c r="J327" s="185"/>
      <c r="K327" s="48" t="b">
        <v>0</v>
      </c>
      <c r="L327" s="1"/>
    </row>
    <row r="328" spans="1:12" s="29" customFormat="1" ht="165" x14ac:dyDescent="0.2">
      <c r="A328" s="19" t="str">
        <f>AI!$A$38</f>
        <v>AISC-04</v>
      </c>
      <c r="B328" s="20" t="str">
        <f>VLOOKUP($A328,AI!$A$13:$E$55,2,0)&amp;""</f>
        <v>Please describe how you validate user inputs.</v>
      </c>
      <c r="C328" s="305" t="str">
        <f>VLOOKUP($A328,AI!$A$13:$E$55,3,0)&amp;""</f>
        <v/>
      </c>
      <c r="D328" s="306" t="str">
        <f>IF(LEFT(VLOOKUP($A328,AI!$A$13:$E$55,5,0),21)='Auto Responses'!$A$32,'Auto Responses'!$A$33,VLOOKUP($A328,AI!$A$13:$E$55,4,0))&amp;""</f>
        <v/>
      </c>
      <c r="E328" s="332" t="str">
        <f>VLOOKUP($A328,AI!$A$13:$E$55,5,0)&amp;""</f>
        <v>Please describe how your solution validates user inputs, including detection of anomalies, malicious inputs, and sensitive data. Indicate where validation occurs and how it supports security and compliance.</v>
      </c>
      <c r="F328" s="195"/>
      <c r="G328" s="30" t="str">
        <f>VLOOKUP($A328,Questions!$A$2:$X$333,21,0)&amp;""</f>
        <v>Not scored</v>
      </c>
      <c r="H328" s="185"/>
      <c r="I328" s="45" t="str">
        <f>VLOOKUP($A328,Questions!$A$2:$X$333,23,0)&amp;""</f>
        <v/>
      </c>
      <c r="J328" s="185"/>
      <c r="K328" s="48" t="b">
        <v>0</v>
      </c>
      <c r="L328" s="1"/>
    </row>
    <row r="329" spans="1:12" s="29" customFormat="1" ht="15" x14ac:dyDescent="0.2">
      <c r="A329" s="19" t="str">
        <f>AI!$A$39</f>
        <v>AISC-05</v>
      </c>
      <c r="B329" s="20" t="str">
        <f>VLOOKUP($A329,AI!$A$13:$E$55,2,0)&amp;""</f>
        <v>Do you plan for and mitigate supply-chain risk related to your AI features?</v>
      </c>
      <c r="C329" s="45" t="str">
        <f>VLOOKUP($A329,AI!$A$13:$E$55,3,0)&amp;""</f>
        <v/>
      </c>
      <c r="D329" s="34" t="str">
        <f>IF(LEFT(VLOOKUP($A329,AI!$A$13:$E$55,5,0),21)='Auto Responses'!$A$32,'Auto Responses'!$A$33,VLOOKUP($A329,AI!$A$13:$E$55,4,0))&amp;""</f>
        <v/>
      </c>
      <c r="E329" s="330" t="str">
        <f>VLOOKUP($A329,AI!$A$13:$E$55,5,0)&amp;""</f>
        <v/>
      </c>
      <c r="F329" s="195"/>
      <c r="G329" s="30" t="str">
        <f>VLOOKUP($A329,Questions!$A$2:$X$333,21,0)&amp;""</f>
        <v>Yes</v>
      </c>
      <c r="H329" s="185"/>
      <c r="I329" s="45" t="str">
        <f>VLOOKUP($A329,Questions!$A$2:$X$333,23,0)&amp;""</f>
        <v>Standard Importance</v>
      </c>
      <c r="J329" s="185"/>
      <c r="K329" s="48" t="b">
        <v>0</v>
      </c>
      <c r="L329" s="1"/>
    </row>
    <row r="330" spans="1:12" s="1" customFormat="1" ht="18" x14ac:dyDescent="0.2">
      <c r="A330" s="63" t="str">
        <f>VLOOKUP(LEFT($A331,4),'Auto Responses'!$N$4:$O$38,2,0)&amp;""</f>
        <v xml:space="preserve"> AI Machine Learning</v>
      </c>
      <c r="B330" s="22"/>
      <c r="C330" s="31"/>
      <c r="D330" s="31"/>
      <c r="E330" s="331"/>
      <c r="F330" s="131" t="s">
        <v>1030</v>
      </c>
      <c r="G330" s="335" t="s">
        <v>869</v>
      </c>
      <c r="H330" s="335" t="s">
        <v>871</v>
      </c>
      <c r="I330" s="335" t="s">
        <v>19</v>
      </c>
      <c r="J330" s="335" t="s">
        <v>856</v>
      </c>
      <c r="K330" s="335" t="s">
        <v>867</v>
      </c>
    </row>
    <row r="331" spans="1:12" s="29" customFormat="1" ht="240" x14ac:dyDescent="0.2">
      <c r="A331" s="19" t="str">
        <f>AI!$A$41</f>
        <v>AIML-01</v>
      </c>
      <c r="B331" s="20" t="str">
        <f>VLOOKUP($A331,AI!$A$13:$E$55,2,0)&amp;""</f>
        <v>Do you separate ML training data from your ML solution data?*</v>
      </c>
      <c r="C331" s="45" t="str">
        <f>VLOOKUP($A331,AI!$A$13:$E$55,3,0)&amp;""</f>
        <v/>
      </c>
      <c r="D331" s="34" t="str">
        <f>IF(LEFT(VLOOKUP($A331,AI!$A$13:$E$55,5,0),21)='Auto Responses'!$A$32,'Auto Responses'!$A$33,VLOOKUP($A331,AI!$A$13:$E$55,4,0))&amp;""</f>
        <v/>
      </c>
      <c r="E331" s="330" t="str">
        <f>VLOOKUP($A331,AI!$A$13:$E$55,5,0)&amp;""</f>
        <v>Please answer based on whether training data is kept separate from production data to protect institutional information. Include how organizational data is segregated, anonymized, or excluded from training, and state whether institutions can opt out of data use for model improvement.</v>
      </c>
      <c r="F331" s="195"/>
      <c r="G331" s="30" t="str">
        <f>VLOOKUP($A331,Questions!$A$2:$X$333,21,0)&amp;""</f>
        <v>Yes</v>
      </c>
      <c r="H331" s="185"/>
      <c r="I331" s="45" t="str">
        <f>VLOOKUP($A331,Questions!$A$2:$X$333,23,0)&amp;""</f>
        <v>Critical Importance</v>
      </c>
      <c r="J331" s="185"/>
      <c r="K331" s="48" t="b">
        <v>0</v>
      </c>
      <c r="L331" s="1"/>
    </row>
    <row r="332" spans="1:12" s="29" customFormat="1" ht="15" x14ac:dyDescent="0.2">
      <c r="A332" s="19" t="str">
        <f>AI!$A$42</f>
        <v>AIML-02</v>
      </c>
      <c r="B332" s="20" t="str">
        <f>VLOOKUP($A332,AI!$A$13:$E$55,2,0)&amp;""</f>
        <v>Do you authenticate and verify your ML model's feedback?*</v>
      </c>
      <c r="C332" s="45" t="str">
        <f>VLOOKUP($A332,AI!$A$13:$E$55,3,0)&amp;""</f>
        <v/>
      </c>
      <c r="D332" s="34" t="str">
        <f>IF(LEFT(VLOOKUP($A332,AI!$A$13:$E$55,5,0),21)='Auto Responses'!$A$32,'Auto Responses'!$A$33,VLOOKUP($A332,AI!$A$13:$E$55,4,0))&amp;""</f>
        <v/>
      </c>
      <c r="E332" s="330" t="str">
        <f>VLOOKUP($A332,AI!$A$13:$E$55,5,0)&amp;""</f>
        <v/>
      </c>
      <c r="F332" s="195"/>
      <c r="G332" s="30" t="str">
        <f>VLOOKUP($A332,Questions!$A$2:$X$333,21,0)&amp;""</f>
        <v>Yes</v>
      </c>
      <c r="H332" s="185"/>
      <c r="I332" s="45" t="str">
        <f>VLOOKUP($A332,Questions!$A$2:$X$333,23,0)&amp;""</f>
        <v>Critical Importance</v>
      </c>
      <c r="J332" s="185"/>
      <c r="K332" s="48" t="b">
        <v>0</v>
      </c>
      <c r="L332" s="1"/>
    </row>
    <row r="333" spans="1:12" s="29" customFormat="1" ht="28.5" x14ac:dyDescent="0.2">
      <c r="A333" s="19" t="str">
        <f>AI!$A$43</f>
        <v>AIML-03</v>
      </c>
      <c r="B333" s="20" t="str">
        <f>VLOOKUP($A333,AI!$A$13:$E$55,2,0)&amp;""</f>
        <v>Is your ML training data vetted, validated, and verified before training the solution's AI model?</v>
      </c>
      <c r="C333" s="45" t="str">
        <f>VLOOKUP($A333,AI!$A$13:$E$55,3,0)&amp;""</f>
        <v/>
      </c>
      <c r="D333" s="34" t="str">
        <f>IF(LEFT(VLOOKUP($A333,AI!$A$13:$E$55,5,0),21)='Auto Responses'!$A$32,'Auto Responses'!$A$33,VLOOKUP($A333,AI!$A$13:$E$55,4,0))&amp;""</f>
        <v/>
      </c>
      <c r="E333" s="330" t="str">
        <f>VLOOKUP($A333,AI!$A$13:$E$55,5,0)&amp;""</f>
        <v/>
      </c>
      <c r="F333" s="195"/>
      <c r="G333" s="30" t="str">
        <f>VLOOKUP($A333,Questions!$A$2:$X$333,21,0)&amp;""</f>
        <v>Yes</v>
      </c>
      <c r="H333" s="185"/>
      <c r="I333" s="45" t="str">
        <f>VLOOKUP($A333,Questions!$A$2:$X$333,23,0)&amp;""</f>
        <v>Standard Importance</v>
      </c>
      <c r="J333" s="185"/>
      <c r="K333" s="48" t="b">
        <v>0</v>
      </c>
      <c r="L333" s="1"/>
    </row>
    <row r="334" spans="1:12" s="29" customFormat="1" ht="15" x14ac:dyDescent="0.2">
      <c r="A334" s="19" t="str">
        <f>AI!$A$44</f>
        <v>AIML-04</v>
      </c>
      <c r="B334" s="20" t="str">
        <f>VLOOKUP($A334,AI!$A$13:$E$55,2,0)&amp;""</f>
        <v>Is your ML training data monitored and audited?</v>
      </c>
      <c r="C334" s="45" t="str">
        <f>VLOOKUP($A334,AI!$A$13:$E$55,3,0)&amp;""</f>
        <v/>
      </c>
      <c r="D334" s="34" t="str">
        <f>IF(LEFT(VLOOKUP($A334,AI!$A$13:$E$55,5,0),21)='Auto Responses'!$A$32,'Auto Responses'!$A$33,VLOOKUP($A334,AI!$A$13:$E$55,4,0))&amp;""</f>
        <v/>
      </c>
      <c r="E334" s="330" t="str">
        <f>VLOOKUP($A334,AI!$A$13:$E$55,5,0)&amp;""</f>
        <v/>
      </c>
      <c r="F334" s="195"/>
      <c r="G334" s="30" t="str">
        <f>VLOOKUP($A334,Questions!$A$2:$X$333,21,0)&amp;""</f>
        <v>Yes</v>
      </c>
      <c r="H334" s="185"/>
      <c r="I334" s="45" t="str">
        <f>VLOOKUP($A334,Questions!$A$2:$X$333,23,0)&amp;""</f>
        <v>Standard Importance</v>
      </c>
      <c r="J334" s="185"/>
      <c r="K334" s="48" t="b">
        <v>0</v>
      </c>
      <c r="L334" s="1"/>
    </row>
    <row r="335" spans="1:12" s="29" customFormat="1" ht="28.5" x14ac:dyDescent="0.2">
      <c r="A335" s="19" t="str">
        <f>AI!$A$45</f>
        <v>AIML-05</v>
      </c>
      <c r="B335" s="20" t="str">
        <f>VLOOKUP($A335,AI!$A$13:$E$55,2,0)&amp;""</f>
        <v>Have you limited access to your ML training data to only staff with an explicit business need?</v>
      </c>
      <c r="C335" s="45" t="str">
        <f>VLOOKUP($A335,AI!$A$13:$E$55,3,0)&amp;""</f>
        <v/>
      </c>
      <c r="D335" s="34" t="str">
        <f>IF(LEFT(VLOOKUP($A335,AI!$A$13:$E$55,5,0),21)='Auto Responses'!$A$32,'Auto Responses'!$A$33,VLOOKUP($A335,AI!$A$13:$E$55,4,0))&amp;""</f>
        <v/>
      </c>
      <c r="E335" s="330" t="str">
        <f>VLOOKUP($A335,AI!$A$13:$E$55,5,0)&amp;""</f>
        <v/>
      </c>
      <c r="F335" s="195"/>
      <c r="G335" s="30" t="str">
        <f>VLOOKUP($A335,Questions!$A$2:$X$333,21,0)&amp;""</f>
        <v>Yes</v>
      </c>
      <c r="H335" s="185"/>
      <c r="I335" s="45" t="str">
        <f>VLOOKUP($A335,Questions!$A$2:$X$333,23,0)&amp;""</f>
        <v>Minor Importance</v>
      </c>
      <c r="J335" s="185"/>
      <c r="K335" s="48" t="b">
        <v>0</v>
      </c>
      <c r="L335" s="1"/>
    </row>
    <row r="336" spans="1:12" s="29" customFormat="1" ht="28.5" x14ac:dyDescent="0.2">
      <c r="A336" s="19" t="str">
        <f>AI!$A$46</f>
        <v>AIML-06</v>
      </c>
      <c r="B336" s="20" t="str">
        <f>VLOOKUP($A336,AI!$A$13:$E$55,2,0)&amp;""</f>
        <v>Have you implemented adversarial training or other model defense mechanisms to protect your ML-related features?</v>
      </c>
      <c r="C336" s="45" t="str">
        <f>VLOOKUP($A336,AI!$A$13:$E$55,3,0)&amp;""</f>
        <v/>
      </c>
      <c r="D336" s="34" t="str">
        <f>IF(LEFT(VLOOKUP($A336,AI!$A$13:$E$55,5,0),21)='Auto Responses'!$A$32,'Auto Responses'!$A$33,VLOOKUP($A336,AI!$A$13:$E$55,4,0))&amp;""</f>
        <v/>
      </c>
      <c r="E336" s="330" t="str">
        <f>VLOOKUP($A336,AI!$A$13:$E$55,5,0)&amp;""</f>
        <v/>
      </c>
      <c r="F336" s="195"/>
      <c r="G336" s="30" t="str">
        <f>VLOOKUP($A336,Questions!$A$2:$X$333,21,0)&amp;""</f>
        <v>Yes</v>
      </c>
      <c r="H336" s="185"/>
      <c r="I336" s="45" t="str">
        <f>VLOOKUP($A336,Questions!$A$2:$X$333,23,0)&amp;""</f>
        <v>Minor Importance</v>
      </c>
      <c r="J336" s="185"/>
      <c r="K336" s="48" t="b">
        <v>0</v>
      </c>
      <c r="L336" s="1"/>
    </row>
    <row r="337" spans="1:14" s="29" customFormat="1" ht="28.5" x14ac:dyDescent="0.2">
      <c r="A337" s="19" t="str">
        <f>AI!$A$47</f>
        <v>AIML-07</v>
      </c>
      <c r="B337" s="20" t="str">
        <f>VLOOKUP($A337,AI!$A$13:$E$55,2,0)&amp;""</f>
        <v>Do you make your ML model transparent through documentation and log inputs and outputs?</v>
      </c>
      <c r="C337" s="45" t="str">
        <f>VLOOKUP($A337,AI!$A$13:$E$55,3,0)&amp;""</f>
        <v/>
      </c>
      <c r="D337" s="34" t="str">
        <f>IF(LEFT(VLOOKUP($A337,AI!$A$13:$E$55,5,0),21)='Auto Responses'!$A$32,'Auto Responses'!$A$33,VLOOKUP($A337,AI!$A$13:$E$55,4,0))&amp;""</f>
        <v/>
      </c>
      <c r="E337" s="330" t="str">
        <f>VLOOKUP($A337,AI!$A$13:$E$55,5,0)&amp;""</f>
        <v/>
      </c>
      <c r="F337" s="195"/>
      <c r="G337" s="30" t="str">
        <f>VLOOKUP($A337,Questions!$A$2:$X$333,21,0)&amp;""</f>
        <v>Yes</v>
      </c>
      <c r="H337" s="185"/>
      <c r="I337" s="45" t="str">
        <f>VLOOKUP($A337,Questions!$A$2:$X$333,23,0)&amp;""</f>
        <v>Minor Importance</v>
      </c>
      <c r="J337" s="185"/>
      <c r="K337" s="48" t="b">
        <v>0</v>
      </c>
      <c r="L337" s="1"/>
    </row>
    <row r="338" spans="1:14" s="29" customFormat="1" ht="15" x14ac:dyDescent="0.2">
      <c r="A338" s="19" t="str">
        <f>AI!$A$48</f>
        <v>AIML-08</v>
      </c>
      <c r="B338" s="20" t="str">
        <f>VLOOKUP($A338,AI!$A$13:$E$55,2,0)&amp;""</f>
        <v>Do you watermark your ML training data?</v>
      </c>
      <c r="C338" s="45" t="str">
        <f>VLOOKUP($A338,AI!$A$13:$E$55,3,0)&amp;""</f>
        <v/>
      </c>
      <c r="D338" s="34" t="str">
        <f>IF(LEFT(VLOOKUP($A338,AI!$A$13:$E$55,5,0),21)='Auto Responses'!$A$32,'Auto Responses'!$A$33,VLOOKUP($A338,AI!$A$13:$E$55,4,0))&amp;""</f>
        <v/>
      </c>
      <c r="E338" s="330" t="str">
        <f>VLOOKUP($A338,AI!$A$13:$E$55,5,0)&amp;""</f>
        <v/>
      </c>
      <c r="F338" s="195"/>
      <c r="G338" s="30" t="str">
        <f>VLOOKUP($A338,Questions!$A$2:$X$333,21,0)&amp;""</f>
        <v>Yes</v>
      </c>
      <c r="H338" s="185"/>
      <c r="I338" s="45" t="str">
        <f>VLOOKUP($A338,Questions!$A$2:$X$333,23,0)&amp;""</f>
        <v>Minor Importance</v>
      </c>
      <c r="J338" s="185"/>
      <c r="K338" s="48" t="b">
        <v>0</v>
      </c>
      <c r="L338" s="1"/>
    </row>
    <row r="339" spans="1:14" s="1" customFormat="1" ht="18" x14ac:dyDescent="0.2">
      <c r="A339" s="63" t="str">
        <f>VLOOKUP(LEFT($A340,4),'Auto Responses'!$N$4:$O$38,2,0)&amp;""</f>
        <v xml:space="preserve"> AI Large Language Model (LLM)</v>
      </c>
      <c r="B339" s="22"/>
      <c r="C339" s="131"/>
      <c r="D339" s="31"/>
      <c r="E339" s="334"/>
      <c r="F339" s="131" t="s">
        <v>1030</v>
      </c>
      <c r="G339" s="335" t="s">
        <v>869</v>
      </c>
      <c r="H339" s="335" t="s">
        <v>871</v>
      </c>
      <c r="I339" s="335" t="s">
        <v>19</v>
      </c>
      <c r="J339" s="335" t="s">
        <v>856</v>
      </c>
      <c r="K339" s="335" t="s">
        <v>867</v>
      </c>
    </row>
    <row r="340" spans="1:14" s="29" customFormat="1" ht="15" x14ac:dyDescent="0.2">
      <c r="A340" s="19" t="str">
        <f>AI!$A$50</f>
        <v>AILM-01</v>
      </c>
      <c r="B340" s="20" t="str">
        <f>VLOOKUP($A340,AI!$A$13:$E$55,2,0)&amp;""</f>
        <v>Do you limit your solution's LLM privileges by default?*</v>
      </c>
      <c r="C340" s="45" t="str">
        <f>VLOOKUP($A340,AI!$A$13:$E$55,3,0)&amp;""</f>
        <v/>
      </c>
      <c r="D340" s="34" t="str">
        <f>IF(LEFT(VLOOKUP($A340,AI!$A$13:$E$55,5,0),21)='Auto Responses'!$A$32,'Auto Responses'!$A$33,VLOOKUP($A340,AI!$A$13:$E$55,4,0))&amp;""</f>
        <v/>
      </c>
      <c r="E340" s="330" t="str">
        <f>VLOOKUP($A340,AI!$A$13:$E$55,5,0)&amp;""</f>
        <v/>
      </c>
      <c r="F340" s="195"/>
      <c r="G340" s="30" t="str">
        <f>VLOOKUP($A340,Questions!$A$2:$X$333,21,0)&amp;""</f>
        <v>Yes</v>
      </c>
      <c r="H340" s="185"/>
      <c r="I340" s="45" t="str">
        <f>VLOOKUP($A340,Questions!$A$2:$X$333,23,0)&amp;""</f>
        <v>Critical Importance</v>
      </c>
      <c r="J340" s="185"/>
      <c r="K340" s="48" t="b">
        <v>0</v>
      </c>
      <c r="L340" s="1"/>
    </row>
    <row r="341" spans="1:14" s="29" customFormat="1" ht="28.5" x14ac:dyDescent="0.2">
      <c r="A341" s="19" t="str">
        <f>AI!$A$51</f>
        <v>AILM-02</v>
      </c>
      <c r="B341" s="20" t="str">
        <f>VLOOKUP($A341,AI!$A$13:$E$55,2,0)&amp;""</f>
        <v>Is your LLM training data vetted, validated, and verified before training the solution's AI model?*</v>
      </c>
      <c r="C341" s="45" t="str">
        <f>VLOOKUP($A341,AI!$A$13:$E$55,3,0)&amp;""</f>
        <v/>
      </c>
      <c r="D341" s="34" t="str">
        <f>IF(LEFT(VLOOKUP($A341,AI!$A$13:$E$55,5,0),21)='Auto Responses'!$A$32,'Auto Responses'!$A$33,VLOOKUP($A341,AI!$A$13:$E$55,4,0))&amp;""</f>
        <v/>
      </c>
      <c r="E341" s="330" t="str">
        <f>VLOOKUP($A341,AI!$A$13:$E$55,5,0)&amp;""</f>
        <v/>
      </c>
      <c r="F341" s="195"/>
      <c r="G341" s="30" t="str">
        <f>VLOOKUP($A341,Questions!$A$2:$X$333,21,0)&amp;""</f>
        <v>Yes</v>
      </c>
      <c r="H341" s="185"/>
      <c r="I341" s="45" t="str">
        <f>VLOOKUP($A341,Questions!$A$2:$X$333,23,0)&amp;""</f>
        <v>Critical Importance</v>
      </c>
      <c r="J341" s="185"/>
      <c r="K341" s="48" t="b">
        <v>0</v>
      </c>
      <c r="L341" s="1"/>
    </row>
    <row r="342" spans="1:14" s="29" customFormat="1" ht="28.5" x14ac:dyDescent="0.2">
      <c r="A342" s="19" t="str">
        <f>AI!$A$52</f>
        <v>AILM-03</v>
      </c>
      <c r="B342" s="20" t="str">
        <f>VLOOKUP($A342,AI!$A$13:$E$55,2,0)&amp;""</f>
        <v>Do any actions taken by your solution's LLM features or plugins require human intervention?*</v>
      </c>
      <c r="C342" s="45" t="str">
        <f>VLOOKUP($A342,AI!$A$13:$E$55,3,0)&amp;""</f>
        <v/>
      </c>
      <c r="D342" s="34" t="str">
        <f>IF(LEFT(VLOOKUP($A342,AI!$A$13:$E$55,5,0),21)='Auto Responses'!$A$32,'Auto Responses'!$A$33,VLOOKUP($A342,AI!$A$13:$E$55,4,0))&amp;""</f>
        <v/>
      </c>
      <c r="E342" s="330" t="str">
        <f>VLOOKUP($A342,AI!$A$13:$E$55,5,0)&amp;""</f>
        <v/>
      </c>
      <c r="F342" s="195"/>
      <c r="G342" s="30" t="str">
        <f>VLOOKUP($A342,Questions!$A$2:$X$333,21,0)&amp;""</f>
        <v>Yes</v>
      </c>
      <c r="H342" s="185"/>
      <c r="I342" s="45" t="str">
        <f>VLOOKUP($A342,Questions!$A$2:$X$333,23,0)&amp;""</f>
        <v>Critical Importance</v>
      </c>
      <c r="J342" s="185"/>
      <c r="K342" s="48" t="b">
        <v>0</v>
      </c>
      <c r="L342" s="1"/>
    </row>
    <row r="343" spans="1:14" s="29" customFormat="1" ht="28.5" x14ac:dyDescent="0.2">
      <c r="A343" s="19" t="str">
        <f>AI!$A$53</f>
        <v>AILM-04</v>
      </c>
      <c r="B343" s="20" t="str">
        <f>VLOOKUP($A343,AI!$A$13:$E$55,2,0)&amp;""</f>
        <v>Do you limit multiple LLM model plugins being called as part of a single input?*</v>
      </c>
      <c r="C343" s="45" t="str">
        <f>VLOOKUP($A343,AI!$A$13:$E$55,3,0)&amp;""</f>
        <v/>
      </c>
      <c r="D343" s="34" t="str">
        <f>IF(LEFT(VLOOKUP($A343,AI!$A$13:$E$55,5,0),21)='Auto Responses'!$A$32,'Auto Responses'!$A$33,VLOOKUP($A343,AI!$A$13:$E$55,4,0))&amp;""</f>
        <v/>
      </c>
      <c r="E343" s="330" t="str">
        <f>VLOOKUP($A343,AI!$A$13:$E$55,5,0)&amp;""</f>
        <v/>
      </c>
      <c r="F343" s="195"/>
      <c r="G343" s="30" t="str">
        <f>VLOOKUP($A343,Questions!$A$2:$X$333,21,0)&amp;""</f>
        <v>Yes</v>
      </c>
      <c r="H343" s="185"/>
      <c r="I343" s="45" t="str">
        <f>VLOOKUP($A343,Questions!$A$2:$X$333,23,0)&amp;""</f>
        <v>Critical Importance</v>
      </c>
      <c r="J343" s="185"/>
      <c r="K343" s="48" t="b">
        <v>0</v>
      </c>
      <c r="L343" s="1"/>
    </row>
    <row r="344" spans="1:14" s="29" customFormat="1" ht="28.5" x14ac:dyDescent="0.2">
      <c r="A344" s="19" t="str">
        <f>AI!$A$54</f>
        <v>AILM-05</v>
      </c>
      <c r="B344" s="20" t="str">
        <f>VLOOKUP($A344,AI!$A$13:$E$55,2,0)&amp;""</f>
        <v>Do you limit your solution's LLM resource use per request, per step, and per action?</v>
      </c>
      <c r="C344" s="45" t="str">
        <f>VLOOKUP($A344,AI!$A$13:$E$55,3,0)&amp;""</f>
        <v/>
      </c>
      <c r="D344" s="34" t="str">
        <f>IF(LEFT(VLOOKUP($A344,AI!$A$13:$E$55,5,0),21)='Auto Responses'!$A$32,'Auto Responses'!$A$33,VLOOKUP($A344,AI!$A$13:$E$55,4,0))&amp;""</f>
        <v/>
      </c>
      <c r="E344" s="330" t="str">
        <f>VLOOKUP($A344,AI!$A$13:$E$55,5,0)&amp;""</f>
        <v/>
      </c>
      <c r="F344" s="195"/>
      <c r="G344" s="30" t="str">
        <f>VLOOKUP($A344,Questions!$A$2:$X$333,21,0)&amp;""</f>
        <v>Yes</v>
      </c>
      <c r="H344" s="185"/>
      <c r="I344" s="45" t="str">
        <f>VLOOKUP($A344,Questions!$A$2:$X$333,23,0)&amp;""</f>
        <v>Standard Importance</v>
      </c>
      <c r="J344" s="185"/>
      <c r="K344" s="48" t="b">
        <v>0</v>
      </c>
      <c r="L344" s="1"/>
    </row>
    <row r="345" spans="1:14" s="29" customFormat="1" ht="28.5" x14ac:dyDescent="0.2">
      <c r="A345" s="19" t="str">
        <f>AI!$A$55</f>
        <v>AILM-06</v>
      </c>
      <c r="B345" s="20" t="str">
        <f>VLOOKUP($A345,AI!$A$13:$E$55,2,0)&amp;""</f>
        <v>Do you leverage LLM model tuning or other model validation mechanisms?</v>
      </c>
      <c r="C345" s="45" t="str">
        <f>VLOOKUP($A345,AI!$A$13:$E$55,3,0)&amp;""</f>
        <v/>
      </c>
      <c r="D345" s="34" t="str">
        <f>IF(LEFT(VLOOKUP($A345,AI!$A$13:$E$55,5,0),21)='Auto Responses'!$A$32,'Auto Responses'!$A$33,VLOOKUP($A345,AI!$A$13:$E$55,4,0))&amp;""</f>
        <v/>
      </c>
      <c r="E345" s="330" t="str">
        <f>VLOOKUP($A345,AI!$A$13:$E$55,5,0)&amp;""</f>
        <v/>
      </c>
      <c r="F345" s="195"/>
      <c r="G345" s="30" t="str">
        <f>VLOOKUP($A345,Questions!$A$2:$X$333,21,0)&amp;""</f>
        <v>Yes</v>
      </c>
      <c r="H345" s="185"/>
      <c r="I345" s="45" t="str">
        <f>VLOOKUP($A345,Questions!$A$2:$X$333,23,0)&amp;""</f>
        <v>Standard Importance</v>
      </c>
      <c r="J345" s="185"/>
      <c r="K345" s="48" t="b">
        <v>0</v>
      </c>
      <c r="L345" s="1"/>
      <c r="N345" s="238" t="s">
        <v>1449</v>
      </c>
    </row>
    <row r="346" spans="1:14" ht="42" customHeight="1" x14ac:dyDescent="0.2">
      <c r="A346" s="267" t="s">
        <v>1507</v>
      </c>
    </row>
    <row r="347" spans="1:14" ht="15" hidden="1" customHeight="1" x14ac:dyDescent="0.2"/>
    <row r="348" spans="1:14" ht="15" hidden="1" customHeight="1" x14ac:dyDescent="0.2"/>
    <row r="349" spans="1:14" ht="15" hidden="1" customHeight="1" x14ac:dyDescent="0.2"/>
    <row r="350" spans="1:14" ht="15" hidden="1" customHeight="1" x14ac:dyDescent="0.2"/>
    <row r="351" spans="1:14" ht="15" hidden="1" customHeight="1" x14ac:dyDescent="0.2"/>
    <row r="352" spans="1:14"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1346" yWindow="518"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C20 C40 B2:B17 A3:A17 D20:I40 I56:I345 G56:G345 A44:E346" xr:uid="{42C50130-3A57-4C1D-932F-FE42EF919690}"/>
  </dataValidations>
  <hyperlinks>
    <hyperlink ref="G21" location="'Institution Evaluation'!A65" display="'Institution Evaluation'!A65" xr:uid="{9BB6B783-2D5B-429A-A38D-F31024220AC6}"/>
    <hyperlink ref="G38" location="'Institution Evaluation'!A309" display="'Institution Evaluation'!A309" xr:uid="{B8DD21E8-AFF2-458D-832C-276DC34D9341}"/>
    <hyperlink ref="G39" location="'Privacy Analyst Evaluation'!A1" display="'Privacy Analyst Evaluation'!A1" xr:uid="{98511C3B-577E-4E85-AEF9-70B142A9EA93}"/>
    <hyperlink ref="F226" location="'Institution Evaluation'!B20" display="Back to Scorecard" xr:uid="{6FE45276-9603-4F4F-8578-735AF2BBFC49}"/>
    <hyperlink ref="F245" location="'Institution Evaluation'!B20" display="Back to Scorecard" xr:uid="{2E72BCD7-5D22-471B-9190-B4D53BA791CB}"/>
    <hyperlink ref="F255" location="'Institution Evaluation'!B20" display="Back to Scorecard" xr:uid="{1DF6CF9D-1B58-4E26-BDCF-036EBA6E0137}"/>
    <hyperlink ref="F285" location="'Institution Evaluation'!B20" display="Back to Scorecard" xr:uid="{625C8E31-7739-454D-B7F0-9328178B0745}"/>
    <hyperlink ref="F298" location="'Institution Evaluation'!B20" display="Back to Scorecard" xr:uid="{3FBC5863-16F9-4DF3-99D5-57A3F598FC3A}"/>
    <hyperlink ref="F309" location="'Institution Evaluation'!B20" display="Back to Scorecard" xr:uid="{1E843BFD-9352-466A-A37F-3F6DC0997DC8}"/>
    <hyperlink ref="F312" location="'Institution Evaluation'!B20" display="Back to Scorecard" xr:uid="{A50B3FAF-0DD0-47AE-A226-3EE8F4666964}"/>
    <hyperlink ref="F318" location="'Institution Evaluation'!B20" display="Back to Scorecard" xr:uid="{8578A02B-414A-4B89-9874-6E0F0CABA11C}"/>
    <hyperlink ref="F324" location="'Institution Evaluation'!B20" display="Back to Scorecard" xr:uid="{4EAF07E3-A446-49D6-9B81-301D7A6A2DFE}"/>
    <hyperlink ref="F330" location="'Institution Evaluation'!B20" display="Back to Scorecard" xr:uid="{C9BE1873-AF3B-4E05-82F3-E1ED6FD8F27D}"/>
    <hyperlink ref="F339" location="'Institution Evaluation'!B20" display="Back to Scorecard" xr:uid="{5672A663-5CCE-44F8-8363-A99CF2D6F791}"/>
    <hyperlink ref="F219" location="'Institution Evaluation'!B20" display="Back to Scorecard" xr:uid="{83828567-04BF-459E-8BE2-0044D0127369}"/>
    <hyperlink ref="F214" location="'Institution Evaluation'!B20" display="Back to Scorecard" xr:uid="{A1BEA664-9690-4B03-A04C-A117FCFB989B}"/>
    <hyperlink ref="F202" location="'Institution Evaluation'!B20" display="Back to Scorecard" xr:uid="{3836858E-46B1-4C36-8D02-D0F05A52A25D}"/>
    <hyperlink ref="F185" location="'Institution Evaluation'!B20" display="Back to Scorecard" xr:uid="{28F17DC6-289B-4707-8B7E-A7CB84C7B4E7}"/>
    <hyperlink ref="F170" location="'Institution Evaluation'!B20" display="Back to Scorecard" xr:uid="{A20522A8-B50C-4AB4-9230-9AAB73E30EE3}"/>
    <hyperlink ref="F146" location="'Institution Evaluation'!B20" display="Back to Scorecard" xr:uid="{1B0F8724-01FD-41CC-8969-8150BDFB0208}"/>
    <hyperlink ref="F127" location="'Institution Evaluation'!B20" display="Back to Scorecard" xr:uid="{971A4E34-19F9-45C1-9027-6E3D641F88EA}"/>
    <hyperlink ref="F111" location="'Institution Evaluation'!B20" display="Back to Scorecard" xr:uid="{D01D5539-6E7F-46C9-874E-F0ADC51C4D23}"/>
    <hyperlink ref="F94" location="'Institution Evaluation'!B20" display="Back to Scorecard" xr:uid="{D0E197AF-1A83-4B46-B53C-01D46E5B6996}"/>
    <hyperlink ref="F88" location="'Institution Evaluation'!B20" display="Back to Scorecard" xr:uid="{0E1BC0D2-F0CC-4575-A673-A3D3CD3DB862}"/>
    <hyperlink ref="F80" location="'Institution Evaluation'!B20" display="Back to Scorecard" xr:uid="{E02B3B42-5558-465B-BDCA-EDE683CAD9F3}"/>
    <hyperlink ref="F71" location="'Institution Evaluation'!B20" display="Back to Scorecard" xr:uid="{2A563F40-8112-422A-B701-8423B34C6A6C}"/>
    <hyperlink ref="F65" location="'Institution Evaluation'!B20" display="Back to Scorecard" xr:uid="{8F2468E9-F2C9-48B9-A074-8DA2F50452F2}"/>
    <hyperlink ref="F55" location="'Institution Evaluation'!B20" display="Back to Scorecard" xr:uid="{9B29E0DB-9237-4EDA-B6E6-FFE05032A5EC}"/>
    <hyperlink ref="A10" r:id="rId1" display="http://www.educause.edu/HECVAT" xr:uid="{CA4B97E8-4BB8-44D3-873F-D2FA5808C236}"/>
    <hyperlink ref="A52" r:id="rId2" display="http://www.educause.edu/HECVAT" xr:uid="{C50E9FB8-ECD0-41CB-A4B7-EF5F93086563}"/>
    <hyperlink ref="G22:G37" location="'Institution Evaluation'!A66" display="'Institution Evaluation'!A66" xr:uid="{22254C26-D2F7-4EB4-9DD6-D7E4EEC9BD73}"/>
    <hyperlink ref="G22" location="'Institution Evaluation'!A80" display="'Institution Evaluation'!A80" xr:uid="{A10D3289-9180-4FDC-B8D5-63AD6CFC39EF}"/>
    <hyperlink ref="G23" location="'Institution Evaluation'!A88" display="'Institution Evaluation'!A88" xr:uid="{524A5B53-524D-4C49-80B6-7A6193774045}"/>
    <hyperlink ref="G24" location="'Institution Evaluation'!A94" display="'Institution Evaluation'!A94" xr:uid="{3E5018C9-5D30-4B64-BCD3-F5D205B6CBC9}"/>
    <hyperlink ref="G25" location="'Institution Evaluation'!A111" display="'Institution Evaluation'!A111" xr:uid="{39439366-0FC8-4EBB-937F-40D8ED0C5787}"/>
    <hyperlink ref="G26" location="'Institution Evaluation'!A127" display="'Institution Evaluation'!A127" xr:uid="{B1EFC601-86CF-4CF8-B268-B760D5CE7AE6}"/>
    <hyperlink ref="G27" location="'Institution Evaluation'!A146" display="'Institution Evaluation'!A146" xr:uid="{3E963CE1-C7B0-46B7-B91D-075492C2E291}"/>
    <hyperlink ref="G28" location="'Institution Evaluation'!A170" display="'Institution Evaluation'!A170" xr:uid="{D192E810-F22F-4DB9-B21F-0F5C1AFED95F}"/>
    <hyperlink ref="G29" location="'Institution Evaluation'!A185" display="'Institution Evaluation'!A185" xr:uid="{60E36B18-3CC8-4A4A-8578-CF3BABBCC3DC}"/>
    <hyperlink ref="G30" location="'Institution Evaluation'!A202" display="'Institution Evaluation'!A202" xr:uid="{743F20BC-A9E4-44F7-A65A-0699920C239A}"/>
    <hyperlink ref="G31" location="'Institution Evaluation'!A214" display="'Institution Evaluation'!A214" xr:uid="{7A781CA3-C3CD-4D04-A143-2CCB454E7A77}"/>
    <hyperlink ref="G32" location="'Institution Evaluation'!A219" display="'Institution Evaluation'!A219" xr:uid="{F512D42C-44E4-4272-9735-B1E48A26C3F7}"/>
    <hyperlink ref="G33" location="'Institution Evaluation'!A245" display="'Institution Evaluation'!A245" xr:uid="{9B9D6919-7160-4762-8FB7-2C707E40F383}"/>
    <hyperlink ref="G34" location="'Institution Evaluation'!A255" display="'Institution Evaluation'!A255" xr:uid="{5EEDD713-7301-4895-8DD6-AAAA68C4654D}"/>
    <hyperlink ref="G35" location="'Institution Evaluation'!A285" display="'Institution Evaluation'!A285" xr:uid="{EF1E4758-B98D-49EB-98E4-3CEEB67EDDD3}"/>
    <hyperlink ref="G36" location="'Institution Evaluation'!A298" display="'Institution Evaluation'!A298" xr:uid="{8F960736-28ED-4591-AB4A-7B6D1C3ED446}"/>
    <hyperlink ref="G37" location="'Institution Evaluation'!A226" display="'Institution Evaluation'!A226" xr:uid="{8D342281-9503-4307-A8A3-6F9A40BBB1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1346" yWindow="518" count="2">
        <x14:dataValidation type="list" allowBlank="1" showInputMessage="1" showErrorMessage="1" xr:uid="{87D58459-7D2A-4093-AA23-CB3B86A17A63}">
          <x14:formula1>
            <xm:f>'Auto Responses'!$J$11:$J$14</xm:f>
          </x14:formula1>
          <xm:sqref>J56:J64 J331:J338 J325:J329 J319:J323 J313:J317 J310:J311 J299:J308 J286:J297 J256:J284 J227:J244 J220:J225 J215:J218 J203:J213 J186:J201 J171:J184 J147:J169 J128:J145 J112:J126 J95:J110 J89:J93 J81:J87 J72:J79 J66:J70 J340:J345 J246:J254</xm:sqref>
        </x14:dataValidation>
        <x14:dataValidation type="list" allowBlank="1" showInputMessage="1" showErrorMessage="1" xr:uid="{11ECA3B0-CCF9-44AB-BABD-846BE063E009}">
          <x14:formula1>
            <xm:f>'Auto Responses'!$J$7:$J$8</xm:f>
          </x14:formula1>
          <xm:sqref>H331:H338 H325:H329 H319:H323 H313:H317 H310:H311 H299:H308 H286:H297 H256:H284 H227:H244 H220:H225 H215:H218 H203:H213 H186:H201 H171:H184 H147:H169 H128:H145 H112:H126 H95:H110 H89:H93 H81:H87 H72:H79 H66:H70 H56:H64 H340:H345 H246:H254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7CA352-70DF-4A8C-BE16-1BA25A2D45EE}">
  <ds:schemaRefs>
    <ds:schemaRef ds:uri="http://schemas.microsoft.com/sharepoint/v3/contenttype/forms"/>
  </ds:schemaRefs>
</ds:datastoreItem>
</file>

<file path=customXml/itemProps2.xml><?xml version="1.0" encoding="utf-8"?>
<ds:datastoreItem xmlns:ds="http://schemas.openxmlformats.org/officeDocument/2006/customXml" ds:itemID="{B9DF336D-6B97-407A-8300-C0C188644765}">
  <ds:schemaRefs>
    <ds:schemaRef ds:uri="http://purl.org/dc/dcmitype/"/>
    <ds:schemaRef ds:uri="http://purl.org/dc/elements/1.1/"/>
    <ds:schemaRef ds:uri="http://purl.org/dc/terms/"/>
    <ds:schemaRef ds:uri="http://schemas.microsoft.com/office/infopath/2007/PartnerControls"/>
    <ds:schemaRef ds:uri="6ce987aa-ba57-409a-b474-072a10bf63c3"/>
    <ds:schemaRef ds:uri="http://www.w3.org/XML/1998/namespace"/>
    <ds:schemaRef ds:uri="http://schemas.microsoft.com/office/2006/documentManagement/types"/>
    <ds:schemaRef ds:uri="http://schemas.openxmlformats.org/package/2006/metadata/core-properties"/>
    <ds:schemaRef ds:uri="59db3a20-cd76-483e-8241-5de0717f7c1b"/>
    <ds:schemaRef ds:uri="http://schemas.microsoft.com/office/2006/metadata/properties"/>
  </ds:schemaRefs>
</ds:datastoreItem>
</file>

<file path=customXml/itemProps3.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Nichole Arbino (she/her)</cp:lastModifiedBy>
  <dcterms:created xsi:type="dcterms:W3CDTF">2024-11-11T16:57:18Z</dcterms:created>
  <dcterms:modified xsi:type="dcterms:W3CDTF">2026-03-10T16:32:05Z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