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codeName="ThisWorkbook" defaultThemeVersion="166925"/>
  <mc:AlternateContent xmlns:mc="http://schemas.openxmlformats.org/markup-compatibility/2006">
    <mc:Choice Requires="x15">
      <x15ac:absPath xmlns:x15ac="http://schemas.microsoft.com/office/spreadsheetml/2010/11/ac" url="C:\Users\Donna Desrochers\Dropbox (rpk GROUP)\rpk GROUP Team Folder\Current Clients\Educause - Toolkit\10. Toolkit materials\Final June 20 Files\2. Analyze Webinar and ROI Tool\"/>
    </mc:Choice>
  </mc:AlternateContent>
  <xr:revisionPtr revIDLastSave="0" documentId="10_ncr:8100000_{C06CD50B-7E2A-4EBE-9688-156E007CFE63}" xr6:coauthVersionLast="34" xr6:coauthVersionMax="34" xr10:uidLastSave="{00000000-0000-0000-0000-000000000000}"/>
  <bookViews>
    <workbookView xWindow="0" yWindow="465" windowWidth="28800" windowHeight="9465" xr2:uid="{00000000-000D-0000-FFFF-FFFF00000000}"/>
  </bookViews>
  <sheets>
    <sheet name="About" sheetId="15" r:id="rId1"/>
    <sheet name="Getting Started" sheetId="22" r:id="rId2"/>
    <sheet name="Dashboard Graphics" sheetId="20" r:id="rId3"/>
    <sheet name="Dashboard Data" sheetId="14" r:id="rId4"/>
    <sheet name="Dashboard Data - Graph Data" sheetId="8" state="hidden" r:id="rId5"/>
    <sheet name="Success Metric &amp; ROI Estimates" sheetId="21" r:id="rId6"/>
    <sheet name="Data Entry Instructions" sheetId="23" r:id="rId7"/>
    <sheet name="1. Institution-wide Data" sheetId="4" r:id="rId8"/>
    <sheet name="2a. Initiative - Desc. &amp; Enrl." sheetId="1" r:id="rId9"/>
    <sheet name="2b Initiative - Plan of Finance" sheetId="5" r:id="rId10"/>
    <sheet name="2c. Initiative - Personnel Exp." sheetId="3" r:id="rId11"/>
    <sheet name="2d. Initiative - Operating Exp." sheetId="2" r:id="rId12"/>
    <sheet name="ROI&amp;Efficiency Calculations" sheetId="13" state="hidden" r:id="rId13"/>
  </sheet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0" i="3" l="1"/>
  <c r="Q50" i="3"/>
  <c r="P50" i="3"/>
  <c r="O50" i="3"/>
  <c r="N50" i="3"/>
  <c r="M50" i="3"/>
  <c r="R49" i="3"/>
  <c r="Q49" i="3"/>
  <c r="P49" i="3"/>
  <c r="O49" i="3"/>
  <c r="N49" i="3"/>
  <c r="M49" i="3"/>
  <c r="R48" i="3"/>
  <c r="Q48" i="3"/>
  <c r="P48" i="3"/>
  <c r="O48" i="3"/>
  <c r="N48" i="3"/>
  <c r="M48" i="3"/>
  <c r="R47" i="3"/>
  <c r="Q47" i="3"/>
  <c r="P47" i="3"/>
  <c r="O47" i="3"/>
  <c r="N47" i="3"/>
  <c r="M47" i="3"/>
  <c r="R46" i="3"/>
  <c r="Q46" i="3"/>
  <c r="P46" i="3"/>
  <c r="O46" i="3"/>
  <c r="N46" i="3"/>
  <c r="M46" i="3"/>
  <c r="R45" i="3"/>
  <c r="Q45" i="3"/>
  <c r="P45" i="3"/>
  <c r="O45" i="3"/>
  <c r="N45" i="3"/>
  <c r="M45" i="3"/>
  <c r="R44" i="3"/>
  <c r="Q44" i="3"/>
  <c r="P44" i="3"/>
  <c r="O44" i="3"/>
  <c r="N44" i="3"/>
  <c r="M44" i="3"/>
  <c r="R43" i="3"/>
  <c r="Q43" i="3"/>
  <c r="P43" i="3"/>
  <c r="O43" i="3"/>
  <c r="N43" i="3"/>
  <c r="M43" i="3"/>
  <c r="R42" i="3"/>
  <c r="Q42" i="3"/>
  <c r="P42" i="3"/>
  <c r="O42" i="3"/>
  <c r="N42" i="3"/>
  <c r="M42" i="3"/>
  <c r="R41" i="3"/>
  <c r="Q41" i="3"/>
  <c r="P41" i="3"/>
  <c r="O41" i="3"/>
  <c r="N41" i="3"/>
  <c r="M41" i="3"/>
  <c r="R31" i="3"/>
  <c r="Q31" i="3"/>
  <c r="P31" i="3"/>
  <c r="O31" i="3"/>
  <c r="N31" i="3"/>
  <c r="M31" i="3"/>
  <c r="R30" i="3"/>
  <c r="Q30" i="3"/>
  <c r="P30" i="3"/>
  <c r="O30" i="3"/>
  <c r="N30" i="3"/>
  <c r="M30" i="3"/>
  <c r="R29" i="3"/>
  <c r="Q29" i="3"/>
  <c r="P29" i="3"/>
  <c r="O29" i="3"/>
  <c r="N29" i="3"/>
  <c r="M29" i="3"/>
  <c r="R28" i="3"/>
  <c r="Q28" i="3"/>
  <c r="P28" i="3"/>
  <c r="O28" i="3"/>
  <c r="N28" i="3"/>
  <c r="M28" i="3"/>
  <c r="R27" i="3"/>
  <c r="Q27" i="3"/>
  <c r="P27" i="3"/>
  <c r="O27" i="3"/>
  <c r="N27" i="3"/>
  <c r="M27" i="3"/>
  <c r="R26" i="3"/>
  <c r="Q26" i="3"/>
  <c r="P26" i="3"/>
  <c r="O26" i="3"/>
  <c r="N26" i="3"/>
  <c r="M26" i="3"/>
  <c r="R25" i="3"/>
  <c r="Q25" i="3"/>
  <c r="P25" i="3"/>
  <c r="O25" i="3"/>
  <c r="N25" i="3"/>
  <c r="M25" i="3"/>
  <c r="R24" i="3"/>
  <c r="Q24" i="3"/>
  <c r="P24" i="3"/>
  <c r="O24" i="3"/>
  <c r="N24" i="3"/>
  <c r="M24" i="3"/>
  <c r="R23" i="3"/>
  <c r="Q23" i="3"/>
  <c r="P23" i="3"/>
  <c r="O23" i="3"/>
  <c r="N23" i="3"/>
  <c r="M23" i="3"/>
  <c r="R22" i="3"/>
  <c r="Q22" i="3"/>
  <c r="P22" i="3"/>
  <c r="O22" i="3"/>
  <c r="N22" i="3"/>
  <c r="M22" i="3"/>
  <c r="R21" i="3"/>
  <c r="Q21" i="3"/>
  <c r="P21" i="3"/>
  <c r="O21" i="3"/>
  <c r="N21" i="3"/>
  <c r="M21" i="3"/>
  <c r="R20" i="3"/>
  <c r="Q20" i="3"/>
  <c r="P20" i="3"/>
  <c r="O20" i="3"/>
  <c r="N20" i="3"/>
  <c r="M20" i="3"/>
  <c r="R19" i="3"/>
  <c r="Q19" i="3"/>
  <c r="P19" i="3"/>
  <c r="O19" i="3"/>
  <c r="N19" i="3"/>
  <c r="M19" i="3"/>
  <c r="R18" i="3"/>
  <c r="Q18" i="3"/>
  <c r="P18" i="3"/>
  <c r="O18" i="3"/>
  <c r="N18" i="3"/>
  <c r="M18" i="3"/>
  <c r="R17" i="3"/>
  <c r="Q17" i="3"/>
  <c r="P17" i="3"/>
  <c r="O17" i="3"/>
  <c r="N17" i="3"/>
  <c r="M17" i="3"/>
  <c r="O16" i="3"/>
  <c r="G13" i="13" l="1"/>
  <c r="F13" i="13"/>
  <c r="E13" i="13"/>
  <c r="D13" i="13"/>
  <c r="G23" i="13"/>
  <c r="F23" i="13"/>
  <c r="E23" i="13"/>
  <c r="D23" i="13"/>
  <c r="C23" i="13"/>
  <c r="D51" i="14" l="1"/>
  <c r="D51" i="8" s="1"/>
  <c r="D48" i="14"/>
  <c r="D48" i="8" s="1"/>
  <c r="C64" i="13" l="1"/>
  <c r="G59" i="13"/>
  <c r="F59" i="13"/>
  <c r="E59" i="13"/>
  <c r="D59" i="13"/>
  <c r="C59" i="13"/>
  <c r="G56" i="13"/>
  <c r="F56" i="13"/>
  <c r="B55" i="13"/>
  <c r="E55" i="13" s="1"/>
  <c r="B54" i="13"/>
  <c r="B58" i="13" s="1"/>
  <c r="B52" i="13"/>
  <c r="E58" i="21" s="1"/>
  <c r="C47" i="13"/>
  <c r="B34" i="13" s="1"/>
  <c r="G40" i="13"/>
  <c r="F40" i="13"/>
  <c r="E40" i="13"/>
  <c r="D40" i="13"/>
  <c r="C40" i="13"/>
  <c r="E37" i="13"/>
  <c r="E38" i="13" s="1"/>
  <c r="D37" i="13"/>
  <c r="D38" i="13" s="1"/>
  <c r="C37" i="13"/>
  <c r="C38" i="13" s="1"/>
  <c r="B37" i="13"/>
  <c r="G37" i="13" s="1"/>
  <c r="G38" i="13" s="1"/>
  <c r="K36" i="13"/>
  <c r="B36" i="13"/>
  <c r="G27" i="13"/>
  <c r="G28" i="13" s="1"/>
  <c r="I44" i="14" s="1"/>
  <c r="I44" i="8" s="1"/>
  <c r="F27" i="13"/>
  <c r="F28" i="13" s="1"/>
  <c r="H44" i="14" s="1"/>
  <c r="H44" i="8" s="1"/>
  <c r="G26" i="13"/>
  <c r="F26" i="13"/>
  <c r="E26" i="13"/>
  <c r="D26" i="13"/>
  <c r="C26" i="13"/>
  <c r="N23" i="13"/>
  <c r="M23" i="13"/>
  <c r="L23" i="13"/>
  <c r="G17" i="13"/>
  <c r="G18" i="13" s="1"/>
  <c r="I42" i="14" s="1"/>
  <c r="F17" i="13"/>
  <c r="F18" i="13" s="1"/>
  <c r="H42" i="14" s="1"/>
  <c r="E16" i="13"/>
  <c r="D16" i="13"/>
  <c r="C16" i="13"/>
  <c r="G15" i="13"/>
  <c r="F15" i="13"/>
  <c r="E15" i="13"/>
  <c r="D15" i="13"/>
  <c r="L14" i="13"/>
  <c r="N13" i="13"/>
  <c r="M13" i="13"/>
  <c r="B5" i="13"/>
  <c r="B4" i="13"/>
  <c r="A2" i="13"/>
  <c r="A1" i="13"/>
  <c r="I48" i="2"/>
  <c r="H48" i="2"/>
  <c r="G48" i="2"/>
  <c r="F48" i="2"/>
  <c r="E48" i="2"/>
  <c r="I47" i="2"/>
  <c r="H47" i="2"/>
  <c r="G47" i="2"/>
  <c r="F47" i="2"/>
  <c r="E47" i="2"/>
  <c r="I46" i="2"/>
  <c r="H46" i="2"/>
  <c r="G46" i="2"/>
  <c r="F46" i="2"/>
  <c r="E46" i="2"/>
  <c r="I43" i="2"/>
  <c r="H43" i="2"/>
  <c r="G43" i="2"/>
  <c r="F43" i="2"/>
  <c r="E43" i="2"/>
  <c r="D43" i="2"/>
  <c r="I41" i="2"/>
  <c r="H41" i="2"/>
  <c r="G41" i="2"/>
  <c r="F41" i="2"/>
  <c r="E41" i="2"/>
  <c r="D41" i="2"/>
  <c r="I39" i="2"/>
  <c r="H39" i="2"/>
  <c r="G39" i="2"/>
  <c r="F39" i="2"/>
  <c r="E39" i="2"/>
  <c r="I38" i="2"/>
  <c r="H38" i="2"/>
  <c r="G38" i="2"/>
  <c r="F38" i="2"/>
  <c r="E38" i="2"/>
  <c r="I37" i="2"/>
  <c r="H37" i="2"/>
  <c r="G37" i="2"/>
  <c r="F37" i="2"/>
  <c r="E37" i="2"/>
  <c r="I34" i="2"/>
  <c r="H34" i="2"/>
  <c r="G34" i="2"/>
  <c r="F34" i="2"/>
  <c r="E34" i="2"/>
  <c r="I33" i="2"/>
  <c r="H33" i="2"/>
  <c r="G33" i="2"/>
  <c r="F33" i="2"/>
  <c r="E33" i="2"/>
  <c r="I32" i="2"/>
  <c r="H32" i="2"/>
  <c r="G32" i="2"/>
  <c r="F32" i="2"/>
  <c r="E32" i="2"/>
  <c r="I29" i="2"/>
  <c r="H29" i="2"/>
  <c r="G29" i="2"/>
  <c r="F29" i="2"/>
  <c r="E29" i="2"/>
  <c r="I28" i="2"/>
  <c r="H28" i="2"/>
  <c r="G28" i="2"/>
  <c r="F28" i="2"/>
  <c r="E28" i="2"/>
  <c r="I27" i="2"/>
  <c r="H27" i="2"/>
  <c r="G27" i="2"/>
  <c r="F27" i="2"/>
  <c r="E27" i="2"/>
  <c r="I26" i="2"/>
  <c r="H26" i="2"/>
  <c r="G26" i="2"/>
  <c r="F26" i="2"/>
  <c r="E26" i="2"/>
  <c r="I25" i="2"/>
  <c r="H25" i="2"/>
  <c r="G25" i="2"/>
  <c r="F25" i="2"/>
  <c r="E25" i="2"/>
  <c r="I24" i="2"/>
  <c r="H24" i="2"/>
  <c r="G24" i="2"/>
  <c r="F24" i="2"/>
  <c r="E24" i="2"/>
  <c r="I23" i="2"/>
  <c r="H23" i="2"/>
  <c r="G23" i="2"/>
  <c r="F23" i="2"/>
  <c r="E23" i="2"/>
  <c r="I22" i="2"/>
  <c r="H22" i="2"/>
  <c r="G22" i="2"/>
  <c r="F22" i="2"/>
  <c r="E22" i="2"/>
  <c r="I21" i="2"/>
  <c r="H21" i="2"/>
  <c r="G21" i="2"/>
  <c r="F21" i="2"/>
  <c r="E21" i="2"/>
  <c r="D21" i="2"/>
  <c r="I18" i="2"/>
  <c r="H18" i="2"/>
  <c r="G18" i="2"/>
  <c r="F18" i="2"/>
  <c r="E18" i="2"/>
  <c r="I17" i="2"/>
  <c r="H17" i="2"/>
  <c r="G17" i="2"/>
  <c r="F17" i="2"/>
  <c r="E17" i="2"/>
  <c r="I16" i="2"/>
  <c r="H16" i="2"/>
  <c r="G16" i="2"/>
  <c r="F16" i="2"/>
  <c r="E16" i="2"/>
  <c r="I15" i="2"/>
  <c r="H15" i="2"/>
  <c r="G15" i="2"/>
  <c r="F15" i="2"/>
  <c r="E15" i="2"/>
  <c r="B5" i="2"/>
  <c r="B4" i="2"/>
  <c r="R58" i="3"/>
  <c r="I65" i="14" s="1"/>
  <c r="I65" i="8" s="1"/>
  <c r="Q58" i="3"/>
  <c r="H65" i="14" s="1"/>
  <c r="H65" i="8" s="1"/>
  <c r="R52" i="3"/>
  <c r="Q52" i="3"/>
  <c r="P52" i="3"/>
  <c r="O52" i="3"/>
  <c r="N52" i="3"/>
  <c r="M52" i="3"/>
  <c r="M58" i="3" s="1"/>
  <c r="D65" i="14" s="1"/>
  <c r="D65" i="8" s="1"/>
  <c r="AC51" i="3"/>
  <c r="AB51" i="3"/>
  <c r="AE50" i="3"/>
  <c r="AD50" i="3"/>
  <c r="AC50" i="3"/>
  <c r="AB50" i="3"/>
  <c r="AA50" i="3"/>
  <c r="Z50" i="3"/>
  <c r="AE49" i="3"/>
  <c r="AD49" i="3"/>
  <c r="AC49" i="3"/>
  <c r="AB49" i="3"/>
  <c r="AA49" i="3"/>
  <c r="Z49" i="3"/>
  <c r="AE48" i="3"/>
  <c r="AD48" i="3"/>
  <c r="AC48" i="3"/>
  <c r="AB48" i="3"/>
  <c r="AA48" i="3"/>
  <c r="Z48" i="3"/>
  <c r="AE47" i="3"/>
  <c r="AD47" i="3"/>
  <c r="AC47" i="3"/>
  <c r="AB47" i="3"/>
  <c r="AA47" i="3"/>
  <c r="Z47" i="3"/>
  <c r="AE46" i="3"/>
  <c r="AD46" i="3"/>
  <c r="AC46" i="3"/>
  <c r="AB46" i="3"/>
  <c r="AA46" i="3"/>
  <c r="Z46" i="3"/>
  <c r="AE45" i="3"/>
  <c r="AD45" i="3"/>
  <c r="AC45" i="3"/>
  <c r="AB45" i="3"/>
  <c r="AA45" i="3"/>
  <c r="Z45" i="3"/>
  <c r="AE44" i="3"/>
  <c r="AD44" i="3"/>
  <c r="AC44" i="3"/>
  <c r="AB44" i="3"/>
  <c r="AA44" i="3"/>
  <c r="Z44" i="3"/>
  <c r="AE43" i="3"/>
  <c r="AD43" i="3"/>
  <c r="AC43" i="3"/>
  <c r="AB43" i="3"/>
  <c r="AA43" i="3"/>
  <c r="Z43" i="3"/>
  <c r="AE42" i="3"/>
  <c r="AD42" i="3"/>
  <c r="AC42" i="3"/>
  <c r="AB42" i="3"/>
  <c r="AA42" i="3"/>
  <c r="Z42" i="3"/>
  <c r="AE41" i="3"/>
  <c r="AE51" i="3" s="1"/>
  <c r="AD41" i="3"/>
  <c r="AD51" i="3" s="1"/>
  <c r="AC41" i="3"/>
  <c r="AB41" i="3"/>
  <c r="AA41" i="3"/>
  <c r="AA51" i="3" s="1"/>
  <c r="Z41" i="3"/>
  <c r="Z51" i="3" s="1"/>
  <c r="R40" i="3"/>
  <c r="Q40" i="3"/>
  <c r="P40" i="3"/>
  <c r="O40" i="3"/>
  <c r="N40" i="3"/>
  <c r="M40" i="3"/>
  <c r="R33" i="3"/>
  <c r="Q33" i="3"/>
  <c r="P33" i="3"/>
  <c r="N33" i="3"/>
  <c r="N58" i="3" s="1"/>
  <c r="E65" i="14" s="1"/>
  <c r="E65" i="8" s="1"/>
  <c r="M33" i="3"/>
  <c r="AE32" i="3"/>
  <c r="AD32" i="3"/>
  <c r="AA32" i="3"/>
  <c r="Z32" i="3"/>
  <c r="AE31" i="3"/>
  <c r="AD31" i="3"/>
  <c r="AC31" i="3"/>
  <c r="AB31" i="3"/>
  <c r="AA31" i="3"/>
  <c r="Z31" i="3"/>
  <c r="AE30" i="3"/>
  <c r="AD30" i="3"/>
  <c r="AC30" i="3"/>
  <c r="AB30" i="3"/>
  <c r="AA30" i="3"/>
  <c r="Z30" i="3"/>
  <c r="AE29" i="3"/>
  <c r="AD29" i="3"/>
  <c r="AC29" i="3"/>
  <c r="AB29" i="3"/>
  <c r="AA29" i="3"/>
  <c r="Z29" i="3"/>
  <c r="AE28" i="3"/>
  <c r="AD28" i="3"/>
  <c r="AC28" i="3"/>
  <c r="AB28" i="3"/>
  <c r="AA28" i="3"/>
  <c r="Z28" i="3"/>
  <c r="AE27" i="3"/>
  <c r="AD27" i="3"/>
  <c r="AC27" i="3"/>
  <c r="AB27" i="3"/>
  <c r="AA27" i="3"/>
  <c r="Z27" i="3"/>
  <c r="AE26" i="3"/>
  <c r="AD26" i="3"/>
  <c r="AC26" i="3"/>
  <c r="AB26" i="3"/>
  <c r="AA26" i="3"/>
  <c r="Z26" i="3"/>
  <c r="AE25" i="3"/>
  <c r="AD25" i="3"/>
  <c r="AC25" i="3"/>
  <c r="AB25" i="3"/>
  <c r="AA25" i="3"/>
  <c r="Z25" i="3"/>
  <c r="AE24" i="3"/>
  <c r="AD24" i="3"/>
  <c r="AC24" i="3"/>
  <c r="AB24" i="3"/>
  <c r="AA24" i="3"/>
  <c r="Z24" i="3"/>
  <c r="AE23" i="3"/>
  <c r="AD23" i="3"/>
  <c r="AC23" i="3"/>
  <c r="AB23" i="3"/>
  <c r="AA23" i="3"/>
  <c r="Z23" i="3"/>
  <c r="AE22" i="3"/>
  <c r="AD22" i="3"/>
  <c r="AC22" i="3"/>
  <c r="AB22" i="3"/>
  <c r="AA22" i="3"/>
  <c r="Z22" i="3"/>
  <c r="AE21" i="3"/>
  <c r="AD21" i="3"/>
  <c r="AC21" i="3"/>
  <c r="AB21" i="3"/>
  <c r="AA21" i="3"/>
  <c r="Z21" i="3"/>
  <c r="AE20" i="3"/>
  <c r="AD20" i="3"/>
  <c r="AC20" i="3"/>
  <c r="AB20" i="3"/>
  <c r="AA20" i="3"/>
  <c r="Z20" i="3"/>
  <c r="O33" i="3"/>
  <c r="O58" i="3" s="1"/>
  <c r="F65" i="14" s="1"/>
  <c r="F65" i="8" s="1"/>
  <c r="AE19" i="3"/>
  <c r="AD19" i="3"/>
  <c r="AC19" i="3"/>
  <c r="AB19" i="3"/>
  <c r="AA19" i="3"/>
  <c r="Z19" i="3"/>
  <c r="AE18" i="3"/>
  <c r="AD18" i="3"/>
  <c r="AC18" i="3"/>
  <c r="AB18" i="3"/>
  <c r="AA18" i="3"/>
  <c r="Z18" i="3"/>
  <c r="AE17" i="3"/>
  <c r="AD17" i="3"/>
  <c r="AC17" i="3"/>
  <c r="AC32" i="3" s="1"/>
  <c r="AB17" i="3"/>
  <c r="AB32" i="3" s="1"/>
  <c r="AA17" i="3"/>
  <c r="Z17" i="3"/>
  <c r="R16" i="3"/>
  <c r="Q16" i="3"/>
  <c r="P16" i="3"/>
  <c r="N16" i="3"/>
  <c r="M16" i="3"/>
  <c r="W14" i="3"/>
  <c r="R34" i="3" s="1"/>
  <c r="W13" i="3"/>
  <c r="O53" i="3" s="1"/>
  <c r="O54" i="3" s="1"/>
  <c r="F69" i="14" s="1"/>
  <c r="F69" i="8" s="1"/>
  <c r="B5" i="3"/>
  <c r="B4" i="3"/>
  <c r="H29" i="5"/>
  <c r="G29" i="5"/>
  <c r="E29" i="5"/>
  <c r="D29" i="5"/>
  <c r="C29" i="5"/>
  <c r="H25" i="5"/>
  <c r="G25" i="5"/>
  <c r="F25" i="5"/>
  <c r="E25" i="5"/>
  <c r="D25" i="5"/>
  <c r="H24" i="5"/>
  <c r="G24" i="5"/>
  <c r="F24" i="5"/>
  <c r="E24" i="5"/>
  <c r="D24" i="5"/>
  <c r="H23" i="5"/>
  <c r="G23" i="5"/>
  <c r="F23" i="5"/>
  <c r="E23" i="5"/>
  <c r="D23" i="5"/>
  <c r="C23" i="5"/>
  <c r="H19" i="5"/>
  <c r="G19" i="5"/>
  <c r="F19" i="5"/>
  <c r="F29" i="5" s="1"/>
  <c r="E19" i="5"/>
  <c r="D19" i="5"/>
  <c r="C19" i="5"/>
  <c r="H15" i="5"/>
  <c r="G15" i="5"/>
  <c r="F15" i="5"/>
  <c r="E15" i="5"/>
  <c r="D15" i="5"/>
  <c r="C15" i="5"/>
  <c r="B5" i="5"/>
  <c r="B4" i="5"/>
  <c r="G29" i="1"/>
  <c r="F29" i="1"/>
  <c r="G27" i="1"/>
  <c r="F27" i="1"/>
  <c r="E27" i="1"/>
  <c r="C5" i="1"/>
  <c r="C4" i="1"/>
  <c r="C56" i="4"/>
  <c r="C52" i="4"/>
  <c r="C35" i="4"/>
  <c r="C33" i="4"/>
  <c r="C30" i="4"/>
  <c r="E25" i="13" s="1"/>
  <c r="C17" i="4"/>
  <c r="C16" i="4"/>
  <c r="Z31" i="8"/>
  <c r="C5" i="8"/>
  <c r="C4" i="8"/>
  <c r="A2" i="8"/>
  <c r="A1" i="8"/>
  <c r="B24" i="21"/>
  <c r="B23" i="13" s="1"/>
  <c r="G24" i="13" s="1"/>
  <c r="C13" i="21"/>
  <c r="C13" i="13" s="1"/>
  <c r="L13" i="13" s="1"/>
  <c r="B13" i="21"/>
  <c r="B13" i="13" s="1"/>
  <c r="K13" i="13" s="1"/>
  <c r="O5" i="21"/>
  <c r="O4" i="21"/>
  <c r="I85" i="14"/>
  <c r="I85" i="8" s="1"/>
  <c r="H85" i="14"/>
  <c r="H85" i="8" s="1"/>
  <c r="G85" i="14"/>
  <c r="G85" i="8" s="1"/>
  <c r="F85" i="14"/>
  <c r="F85" i="8" s="1"/>
  <c r="E85" i="14"/>
  <c r="E85" i="8" s="1"/>
  <c r="I84" i="14"/>
  <c r="I84" i="8" s="1"/>
  <c r="H84" i="14"/>
  <c r="H84" i="8" s="1"/>
  <c r="G84" i="14"/>
  <c r="G84" i="8" s="1"/>
  <c r="F84" i="14"/>
  <c r="F84" i="8" s="1"/>
  <c r="E84" i="14"/>
  <c r="E84" i="8" s="1"/>
  <c r="I83" i="14"/>
  <c r="I83" i="8" s="1"/>
  <c r="H83" i="14"/>
  <c r="H83" i="8" s="1"/>
  <c r="G83" i="14"/>
  <c r="G83" i="8" s="1"/>
  <c r="F83" i="14"/>
  <c r="F83" i="8" s="1"/>
  <c r="E83" i="14"/>
  <c r="E83" i="8" s="1"/>
  <c r="I74" i="14"/>
  <c r="I74" i="8" s="1"/>
  <c r="H74" i="14"/>
  <c r="H74" i="8" s="1"/>
  <c r="G74" i="14"/>
  <c r="G74" i="8" s="1"/>
  <c r="F74" i="14"/>
  <c r="F74" i="8" s="1"/>
  <c r="E74" i="14"/>
  <c r="E74" i="8" s="1"/>
  <c r="D74" i="14"/>
  <c r="D74" i="8" s="1"/>
  <c r="I73" i="14"/>
  <c r="I73" i="8" s="1"/>
  <c r="H73" i="14"/>
  <c r="H73" i="8" s="1"/>
  <c r="G73" i="14"/>
  <c r="G73" i="8" s="1"/>
  <c r="F73" i="14"/>
  <c r="F73" i="8" s="1"/>
  <c r="E73" i="14"/>
  <c r="E73" i="8" s="1"/>
  <c r="D73" i="14"/>
  <c r="D73" i="8" s="1"/>
  <c r="I72" i="14"/>
  <c r="I72" i="8" s="1"/>
  <c r="H72" i="14"/>
  <c r="H72" i="8" s="1"/>
  <c r="G72" i="14"/>
  <c r="G72" i="8" s="1"/>
  <c r="F72" i="14"/>
  <c r="F72" i="8" s="1"/>
  <c r="E72" i="14"/>
  <c r="D72" i="14"/>
  <c r="D72" i="8" s="1"/>
  <c r="I45" i="14"/>
  <c r="I45" i="8" s="1"/>
  <c r="H45" i="14"/>
  <c r="H45" i="8" s="1"/>
  <c r="G45" i="14"/>
  <c r="G45" i="8" s="1"/>
  <c r="F45" i="14"/>
  <c r="F45" i="8" s="1"/>
  <c r="E45" i="14"/>
  <c r="E45" i="8" s="1"/>
  <c r="D45" i="14"/>
  <c r="D45" i="8" s="1"/>
  <c r="I43" i="14"/>
  <c r="I43" i="8" s="1"/>
  <c r="H43" i="14"/>
  <c r="H43" i="8" s="1"/>
  <c r="G43" i="14"/>
  <c r="G43" i="8" s="1"/>
  <c r="F43" i="14"/>
  <c r="F43" i="8" s="1"/>
  <c r="E43" i="14"/>
  <c r="E43" i="8" s="1"/>
  <c r="D43" i="14"/>
  <c r="D43" i="8" s="1"/>
  <c r="E42" i="14"/>
  <c r="E42" i="8" s="1"/>
  <c r="AB31" i="14"/>
  <c r="I23" i="14"/>
  <c r="I71" i="14" s="1"/>
  <c r="I71" i="8" s="1"/>
  <c r="H23" i="14"/>
  <c r="G23" i="14"/>
  <c r="G71" i="14" s="1"/>
  <c r="G71" i="8" s="1"/>
  <c r="F23" i="14"/>
  <c r="F23" i="8" s="1"/>
  <c r="E23" i="14"/>
  <c r="E71" i="14" s="1"/>
  <c r="E71" i="8" s="1"/>
  <c r="D23" i="14"/>
  <c r="D71" i="14" s="1"/>
  <c r="D71" i="8" s="1"/>
  <c r="I16" i="14"/>
  <c r="I16" i="8" s="1"/>
  <c r="H16" i="14"/>
  <c r="H16" i="8" s="1"/>
  <c r="G16" i="14"/>
  <c r="G16" i="8" s="1"/>
  <c r="F16" i="14"/>
  <c r="F16" i="8" s="1"/>
  <c r="E16" i="14"/>
  <c r="E16" i="8" s="1"/>
  <c r="D16" i="14"/>
  <c r="D16" i="8" s="1"/>
  <c r="I15" i="14"/>
  <c r="I15" i="8" s="1"/>
  <c r="H15" i="14"/>
  <c r="H15" i="8" s="1"/>
  <c r="G15" i="14"/>
  <c r="G15" i="8" s="1"/>
  <c r="F15" i="14"/>
  <c r="F15" i="8" s="1"/>
  <c r="E15" i="14"/>
  <c r="E15" i="8" s="1"/>
  <c r="D15" i="14"/>
  <c r="D15" i="8" s="1"/>
  <c r="I14" i="14"/>
  <c r="I14" i="8" s="1"/>
  <c r="H14" i="14"/>
  <c r="H14" i="8" s="1"/>
  <c r="G14" i="14"/>
  <c r="G14" i="8" s="1"/>
  <c r="F14" i="14"/>
  <c r="F14" i="8" s="1"/>
  <c r="E14" i="14"/>
  <c r="E14" i="8" s="1"/>
  <c r="D14" i="14"/>
  <c r="D14" i="8" s="1"/>
  <c r="I13" i="14"/>
  <c r="H13" i="14"/>
  <c r="H18" i="14" s="1"/>
  <c r="H18" i="8" s="1"/>
  <c r="G13" i="14"/>
  <c r="F13" i="14"/>
  <c r="F13" i="8" s="1"/>
  <c r="E13" i="14"/>
  <c r="E13" i="8" s="1"/>
  <c r="D13" i="14"/>
  <c r="D13" i="8" s="1"/>
  <c r="C5" i="14"/>
  <c r="C4" i="14"/>
  <c r="B5" i="20"/>
  <c r="B4" i="20"/>
  <c r="P58" i="3" l="1"/>
  <c r="G65" i="14" s="1"/>
  <c r="G65" i="8" s="1"/>
  <c r="R35" i="3"/>
  <c r="K54" i="13"/>
  <c r="D58" i="14"/>
  <c r="D58" i="8" s="1"/>
  <c r="D24" i="13"/>
  <c r="D56" i="13" s="1"/>
  <c r="D57" i="13" s="1"/>
  <c r="F55" i="13"/>
  <c r="B57" i="13"/>
  <c r="N34" i="3"/>
  <c r="P53" i="3"/>
  <c r="P54" i="3" s="1"/>
  <c r="G69" i="14" s="1"/>
  <c r="G69" i="8" s="1"/>
  <c r="O34" i="3"/>
  <c r="M53" i="3"/>
  <c r="M54" i="3" s="1"/>
  <c r="D69" i="14" s="1"/>
  <c r="D69" i="8" s="1"/>
  <c r="Q53" i="3"/>
  <c r="Q54" i="3" s="1"/>
  <c r="H69" i="14" s="1"/>
  <c r="H69" i="8" s="1"/>
  <c r="B16" i="13"/>
  <c r="F16" i="13" s="1"/>
  <c r="E24" i="13"/>
  <c r="E56" i="13" s="1"/>
  <c r="E57" i="13" s="1"/>
  <c r="F37" i="13"/>
  <c r="F38" i="13" s="1"/>
  <c r="C55" i="13"/>
  <c r="G55" i="13"/>
  <c r="G57" i="13" s="1"/>
  <c r="P34" i="3"/>
  <c r="N53" i="3"/>
  <c r="N54" i="3" s="1"/>
  <c r="E69" i="14" s="1"/>
  <c r="E69" i="8" s="1"/>
  <c r="R53" i="3"/>
  <c r="R54" i="3" s="1"/>
  <c r="I69" i="14" s="1"/>
  <c r="I69" i="8" s="1"/>
  <c r="F24" i="13"/>
  <c r="D55" i="13"/>
  <c r="F57" i="13"/>
  <c r="M34" i="3"/>
  <c r="Q34" i="3"/>
  <c r="K23" i="13"/>
  <c r="C24" i="13"/>
  <c r="C56" i="13" s="1"/>
  <c r="C57" i="13" s="1"/>
  <c r="C58" i="13"/>
  <c r="C54" i="13" s="1"/>
  <c r="C36" i="13"/>
  <c r="L36" i="13" s="1"/>
  <c r="E40" i="21"/>
  <c r="E39" i="13"/>
  <c r="E41" i="13" s="1"/>
  <c r="F39" i="13"/>
  <c r="F41" i="13" s="1"/>
  <c r="C39" i="13"/>
  <c r="C41" i="13" s="1"/>
  <c r="G39" i="13"/>
  <c r="G41" i="13" s="1"/>
  <c r="D39" i="13"/>
  <c r="D41" i="13" s="1"/>
  <c r="E27" i="13"/>
  <c r="E28" i="13" s="1"/>
  <c r="N24" i="13" s="1"/>
  <c r="G18" i="14"/>
  <c r="G18" i="8" s="1"/>
  <c r="W44" i="8" s="1"/>
  <c r="I23" i="8"/>
  <c r="H13" i="8"/>
  <c r="I18" i="14"/>
  <c r="J72" i="14"/>
  <c r="I13" i="8"/>
  <c r="G23" i="8"/>
  <c r="G13" i="8"/>
  <c r="D23" i="8"/>
  <c r="D18" i="14"/>
  <c r="J71" i="14"/>
  <c r="E23" i="8"/>
  <c r="F18" i="14"/>
  <c r="H71" i="14"/>
  <c r="H71" i="8" s="1"/>
  <c r="E72" i="8"/>
  <c r="J72" i="8" s="1"/>
  <c r="J70" i="14"/>
  <c r="I18" i="8"/>
  <c r="H23" i="8"/>
  <c r="E18" i="14"/>
  <c r="F71" i="14"/>
  <c r="F71" i="8" s="1"/>
  <c r="J74" i="8"/>
  <c r="J73" i="8"/>
  <c r="J69" i="8"/>
  <c r="H41" i="14"/>
  <c r="H42" i="8"/>
  <c r="I41" i="14"/>
  <c r="I42" i="8"/>
  <c r="F14" i="13"/>
  <c r="F25" i="13"/>
  <c r="G14" i="13"/>
  <c r="C25" i="13"/>
  <c r="C27" i="13" s="1"/>
  <c r="C28" i="13" s="1"/>
  <c r="G25" i="13"/>
  <c r="D14" i="13"/>
  <c r="D17" i="13" s="1"/>
  <c r="D18" i="13" s="1"/>
  <c r="D25" i="13"/>
  <c r="D27" i="13" s="1"/>
  <c r="D28" i="13" s="1"/>
  <c r="E14" i="13"/>
  <c r="E17" i="13" s="1"/>
  <c r="E18" i="13" s="1"/>
  <c r="J67" i="14" l="1"/>
  <c r="M59" i="3"/>
  <c r="D66" i="14" s="1"/>
  <c r="D66" i="8" s="1"/>
  <c r="M35" i="3"/>
  <c r="N35" i="3"/>
  <c r="N59" i="3"/>
  <c r="E66" i="14" s="1"/>
  <c r="E66" i="8" s="1"/>
  <c r="G16" i="13"/>
  <c r="P59" i="3"/>
  <c r="G66" i="14" s="1"/>
  <c r="G66" i="8" s="1"/>
  <c r="P35" i="3"/>
  <c r="O35" i="3"/>
  <c r="O59" i="3"/>
  <c r="F66" i="14" s="1"/>
  <c r="F66" i="8" s="1"/>
  <c r="R59" i="3"/>
  <c r="I66" i="14" s="1"/>
  <c r="I66" i="8" s="1"/>
  <c r="Q59" i="3"/>
  <c r="H66" i="14" s="1"/>
  <c r="H66" i="8" s="1"/>
  <c r="Q35" i="3"/>
  <c r="R60" i="3"/>
  <c r="I22" i="14" s="1"/>
  <c r="I68" i="14"/>
  <c r="I68" i="8" s="1"/>
  <c r="G44" i="14"/>
  <c r="G44" i="8" s="1"/>
  <c r="C60" i="13"/>
  <c r="E57" i="14" s="1"/>
  <c r="E57" i="8" s="1"/>
  <c r="C61" i="13"/>
  <c r="E58" i="14"/>
  <c r="E58" i="8" s="1"/>
  <c r="D58" i="13"/>
  <c r="L54" i="13"/>
  <c r="C42" i="13"/>
  <c r="L38" i="13" s="1"/>
  <c r="D36" i="13"/>
  <c r="E36" i="13" s="1"/>
  <c r="L56" i="13"/>
  <c r="E59" i="14"/>
  <c r="E59" i="8" s="1"/>
  <c r="H48" i="14"/>
  <c r="H48" i="8" s="1"/>
  <c r="H51" i="14"/>
  <c r="H51" i="8" s="1"/>
  <c r="I48" i="14"/>
  <c r="I48" i="8" s="1"/>
  <c r="I51" i="14"/>
  <c r="I51" i="8" s="1"/>
  <c r="E18" i="8"/>
  <c r="Q44" i="8" s="1"/>
  <c r="D18" i="8"/>
  <c r="N44" i="8" s="1"/>
  <c r="F18" i="8"/>
  <c r="T44" i="8" s="1"/>
  <c r="M14" i="13"/>
  <c r="F42" i="14"/>
  <c r="G42" i="14"/>
  <c r="N14" i="13"/>
  <c r="I41" i="8"/>
  <c r="L24" i="13"/>
  <c r="E44" i="14"/>
  <c r="M24" i="13"/>
  <c r="F44" i="14"/>
  <c r="F44" i="8" s="1"/>
  <c r="H41" i="8"/>
  <c r="Q60" i="3" l="1"/>
  <c r="H22" i="14" s="1"/>
  <c r="H68" i="14"/>
  <c r="H68" i="8" s="1"/>
  <c r="O60" i="3"/>
  <c r="F22" i="14" s="1"/>
  <c r="F68" i="14"/>
  <c r="F68" i="8" s="1"/>
  <c r="G68" i="14"/>
  <c r="G68" i="8" s="1"/>
  <c r="P60" i="3"/>
  <c r="G22" i="14" s="1"/>
  <c r="N60" i="3"/>
  <c r="E22" i="14" s="1"/>
  <c r="E68" i="14"/>
  <c r="E68" i="8" s="1"/>
  <c r="L55" i="13"/>
  <c r="M60" i="3"/>
  <c r="D22" i="14" s="1"/>
  <c r="D68" i="14"/>
  <c r="I22" i="8"/>
  <c r="I64" i="14"/>
  <c r="I64" i="8" s="1"/>
  <c r="I25" i="14"/>
  <c r="E58" i="13"/>
  <c r="M54" i="13"/>
  <c r="F58" i="14"/>
  <c r="F58" i="8" s="1"/>
  <c r="D54" i="13"/>
  <c r="C43" i="13"/>
  <c r="L37" i="13" s="1"/>
  <c r="M36" i="13"/>
  <c r="D42" i="13"/>
  <c r="D43" i="13" s="1"/>
  <c r="M37" i="13" s="1"/>
  <c r="F36" i="13"/>
  <c r="N36" i="13"/>
  <c r="E42" i="13"/>
  <c r="G42" i="8"/>
  <c r="G41" i="14"/>
  <c r="F41" i="14"/>
  <c r="F42" i="8"/>
  <c r="E44" i="8"/>
  <c r="E41" i="14"/>
  <c r="I25" i="8" l="1"/>
  <c r="I47" i="8" s="1"/>
  <c r="I53" i="14"/>
  <c r="I53" i="8" s="1"/>
  <c r="I28" i="14"/>
  <c r="I79" i="14"/>
  <c r="I79" i="8" s="1"/>
  <c r="I32" i="14"/>
  <c r="I32" i="8" s="1"/>
  <c r="I78" i="14"/>
  <c r="I78" i="8" s="1"/>
  <c r="I77" i="14"/>
  <c r="I77" i="8" s="1"/>
  <c r="I47" i="14"/>
  <c r="D68" i="8"/>
  <c r="J68" i="8" s="1"/>
  <c r="K72" i="8" s="1"/>
  <c r="J75" i="8" s="1"/>
  <c r="J66" i="14"/>
  <c r="K72" i="14" s="1"/>
  <c r="J73" i="14" s="1"/>
  <c r="D64" i="14"/>
  <c r="D64" i="8" s="1"/>
  <c r="D22" i="8"/>
  <c r="D25" i="14"/>
  <c r="E22" i="8"/>
  <c r="E25" i="14"/>
  <c r="E53" i="14" s="1"/>
  <c r="E53" i="8" s="1"/>
  <c r="R45" i="8" s="1"/>
  <c r="E64" i="14"/>
  <c r="E64" i="8" s="1"/>
  <c r="F22" i="8"/>
  <c r="F25" i="14"/>
  <c r="F47" i="14" s="1"/>
  <c r="F64" i="14"/>
  <c r="F64" i="8" s="1"/>
  <c r="G22" i="8"/>
  <c r="G25" i="14"/>
  <c r="G47" i="14" s="1"/>
  <c r="G48" i="14" s="1"/>
  <c r="G48" i="8" s="1"/>
  <c r="G64" i="14"/>
  <c r="G64" i="8" s="1"/>
  <c r="H22" i="8"/>
  <c r="H25" i="14"/>
  <c r="H64" i="14"/>
  <c r="H64" i="8" s="1"/>
  <c r="D60" i="13"/>
  <c r="D61" i="13"/>
  <c r="F58" i="13"/>
  <c r="N54" i="13"/>
  <c r="G58" i="14"/>
  <c r="G58" i="8" s="1"/>
  <c r="E54" i="13"/>
  <c r="C44" i="13"/>
  <c r="D44" i="13"/>
  <c r="M38" i="13"/>
  <c r="N38" i="13"/>
  <c r="E43" i="13"/>
  <c r="G36" i="13"/>
  <c r="G42" i="13" s="1"/>
  <c r="G43" i="13" s="1"/>
  <c r="G44" i="13" s="1"/>
  <c r="F42" i="13"/>
  <c r="F43" i="13" s="1"/>
  <c r="F44" i="13" s="1"/>
  <c r="F53" i="14"/>
  <c r="F53" i="8" s="1"/>
  <c r="U45" i="8" s="1"/>
  <c r="F41" i="8"/>
  <c r="G41" i="8"/>
  <c r="E41" i="8"/>
  <c r="G53" i="14" l="1"/>
  <c r="G53" i="8" s="1"/>
  <c r="X45" i="8" s="1"/>
  <c r="E32" i="14"/>
  <c r="E32" i="8" s="1"/>
  <c r="E77" i="14"/>
  <c r="E77" i="8" s="1"/>
  <c r="E79" i="14"/>
  <c r="E79" i="8" s="1"/>
  <c r="E78" i="14"/>
  <c r="E78" i="8" s="1"/>
  <c r="E28" i="14"/>
  <c r="E25" i="8"/>
  <c r="P41" i="8" s="1"/>
  <c r="F32" i="14"/>
  <c r="F32" i="8" s="1"/>
  <c r="F78" i="14"/>
  <c r="F78" i="8" s="1"/>
  <c r="F79" i="14"/>
  <c r="F79" i="8" s="1"/>
  <c r="F77" i="14"/>
  <c r="F77" i="8" s="1"/>
  <c r="F25" i="8"/>
  <c r="S41" i="8" s="1"/>
  <c r="F28" i="14"/>
  <c r="I28" i="8"/>
  <c r="I34" i="14"/>
  <c r="I34" i="8" s="1"/>
  <c r="G78" i="14"/>
  <c r="G78" i="8" s="1"/>
  <c r="G79" i="14"/>
  <c r="G79" i="8" s="1"/>
  <c r="G77" i="14"/>
  <c r="G77" i="8" s="1"/>
  <c r="G32" i="14"/>
  <c r="G32" i="8" s="1"/>
  <c r="G25" i="8"/>
  <c r="V41" i="8" s="1"/>
  <c r="G28" i="14"/>
  <c r="D26" i="14"/>
  <c r="D53" i="14"/>
  <c r="D53" i="8" s="1"/>
  <c r="O45" i="8" s="1"/>
  <c r="D32" i="14"/>
  <c r="D32" i="8" s="1"/>
  <c r="D28" i="14"/>
  <c r="D25" i="8"/>
  <c r="D47" i="14"/>
  <c r="D50" i="14" s="1"/>
  <c r="E47" i="14"/>
  <c r="E48" i="14" s="1"/>
  <c r="E48" i="8" s="1"/>
  <c r="H77" i="14"/>
  <c r="H77" i="8" s="1"/>
  <c r="H78" i="14"/>
  <c r="H78" i="8" s="1"/>
  <c r="H25" i="8"/>
  <c r="H47" i="8" s="1"/>
  <c r="H79" i="14"/>
  <c r="H79" i="8" s="1"/>
  <c r="H47" i="14"/>
  <c r="H32" i="14"/>
  <c r="H32" i="8" s="1"/>
  <c r="H53" i="14"/>
  <c r="H53" i="8" s="1"/>
  <c r="H28" i="14"/>
  <c r="G58" i="13"/>
  <c r="H58" i="14"/>
  <c r="H58" i="8" s="1"/>
  <c r="F54" i="13"/>
  <c r="E61" i="13"/>
  <c r="E60" i="13"/>
  <c r="M56" i="13"/>
  <c r="F59" i="14"/>
  <c r="F59" i="8" s="1"/>
  <c r="M55" i="13"/>
  <c r="F57" i="14"/>
  <c r="F57" i="8" s="1"/>
  <c r="N37" i="13"/>
  <c r="E44" i="13"/>
  <c r="F48" i="14"/>
  <c r="F48" i="8" s="1"/>
  <c r="W43" i="8"/>
  <c r="T43" i="8"/>
  <c r="E47" i="8"/>
  <c r="Q43" i="8"/>
  <c r="F47" i="8" l="1"/>
  <c r="G47" i="8"/>
  <c r="G28" i="8"/>
  <c r="G34" i="14"/>
  <c r="G34" i="8" s="1"/>
  <c r="F34" i="14"/>
  <c r="F34" i="8" s="1"/>
  <c r="F28" i="8"/>
  <c r="E50" i="14"/>
  <c r="H34" i="14"/>
  <c r="H34" i="8" s="1"/>
  <c r="H28" i="8"/>
  <c r="M41" i="8"/>
  <c r="D47" i="8"/>
  <c r="D50" i="8" s="1"/>
  <c r="E50" i="8" s="1"/>
  <c r="F50" i="8" s="1"/>
  <c r="G50" i="8" s="1"/>
  <c r="H50" i="8" s="1"/>
  <c r="I50" i="8" s="1"/>
  <c r="D34" i="14"/>
  <c r="D30" i="14"/>
  <c r="D28" i="8"/>
  <c r="E26" i="14"/>
  <c r="D26" i="8"/>
  <c r="E28" i="8"/>
  <c r="E34" i="14"/>
  <c r="E34" i="8" s="1"/>
  <c r="G59" i="14"/>
  <c r="G59" i="8" s="1"/>
  <c r="N56" i="13"/>
  <c r="F60" i="13"/>
  <c r="H57" i="14" s="1"/>
  <c r="H57" i="8" s="1"/>
  <c r="F61" i="13"/>
  <c r="H59" i="14" s="1"/>
  <c r="H59" i="8" s="1"/>
  <c r="G57" i="14"/>
  <c r="G57" i="8" s="1"/>
  <c r="N55" i="13"/>
  <c r="I58" i="14"/>
  <c r="I58" i="8" s="1"/>
  <c r="G54" i="13"/>
  <c r="F50" i="14"/>
  <c r="D36" i="14" l="1"/>
  <c r="D34" i="8"/>
  <c r="F26" i="14"/>
  <c r="F51" i="14" s="1"/>
  <c r="F51" i="8" s="1"/>
  <c r="E26" i="8"/>
  <c r="E51" i="14"/>
  <c r="E51" i="8" s="1"/>
  <c r="E30" i="14"/>
  <c r="D30" i="8"/>
  <c r="G61" i="13"/>
  <c r="I59" i="14" s="1"/>
  <c r="I59" i="8" s="1"/>
  <c r="G60" i="13"/>
  <c r="I57" i="14" s="1"/>
  <c r="I57" i="8" s="1"/>
  <c r="G50" i="14"/>
  <c r="E30" i="8" l="1"/>
  <c r="F30" i="14"/>
  <c r="F26" i="8"/>
  <c r="G26" i="14"/>
  <c r="D36" i="8"/>
  <c r="E36" i="14"/>
  <c r="H50" i="14"/>
  <c r="I50" i="14" s="1"/>
  <c r="G30" i="14" l="1"/>
  <c r="F30" i="8"/>
  <c r="E36" i="8"/>
  <c r="F36" i="14"/>
  <c r="G26" i="8"/>
  <c r="H26" i="14"/>
  <c r="G51" i="14"/>
  <c r="G51" i="8" s="1"/>
  <c r="G36" i="14" l="1"/>
  <c r="F36" i="8"/>
  <c r="I26" i="14"/>
  <c r="I26" i="8" s="1"/>
  <c r="H26" i="8"/>
  <c r="H30" i="14"/>
  <c r="G30" i="8"/>
  <c r="I30" i="14" l="1"/>
  <c r="I30" i="8" s="1"/>
  <c r="H30" i="8"/>
  <c r="H36" i="14"/>
  <c r="G36" i="8"/>
  <c r="I36" i="14" l="1"/>
  <c r="I36" i="8" s="1"/>
  <c r="H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Donna Desrochers</author>
  </authors>
  <commentList>
    <comment ref="L13" authorId="0" shapeId="0" xr:uid="{00000000-0006-0000-0A00-000001000000}">
      <text>
        <r>
          <rPr>
            <b/>
            <sz val="9"/>
            <color indexed="81"/>
            <rFont val="Tahoma"/>
            <family val="2"/>
          </rPr>
          <t>Donna Desrochers:</t>
        </r>
        <r>
          <rPr>
            <sz val="9"/>
            <color indexed="81"/>
            <rFont val="Tahoma"/>
            <family val="2"/>
          </rPr>
          <t xml:space="preserve">
use D14 as check b/c C14 will always = B14</t>
        </r>
      </text>
    </comment>
  </commentList>
</comments>
</file>

<file path=xl/sharedStrings.xml><?xml version="1.0" encoding="utf-8"?>
<sst xmlns="http://schemas.openxmlformats.org/spreadsheetml/2006/main" count="717" uniqueCount="406">
  <si>
    <t>Initiative:</t>
  </si>
  <si>
    <t>College:</t>
  </si>
  <si>
    <t>Year 0</t>
  </si>
  <si>
    <t>Year 1</t>
  </si>
  <si>
    <t>Year 2</t>
  </si>
  <si>
    <t>Year 3</t>
  </si>
  <si>
    <t>Year 4</t>
  </si>
  <si>
    <t>Year 5</t>
  </si>
  <si>
    <t>Comments</t>
  </si>
  <si>
    <t>xx</t>
  </si>
  <si>
    <t>Operations &amp; Maintenance (O&amp;M)</t>
  </si>
  <si>
    <t>Facility expenses</t>
  </si>
  <si>
    <t>General Operating Expenses</t>
  </si>
  <si>
    <t>Consulting</t>
  </si>
  <si>
    <t>Travel</t>
  </si>
  <si>
    <t>Equipment (IT)</t>
  </si>
  <si>
    <t>Equipment (non-IT)</t>
  </si>
  <si>
    <t>Printing/postage</t>
  </si>
  <si>
    <t>Other Expenses (CV)*</t>
  </si>
  <si>
    <t>Marketing</t>
  </si>
  <si>
    <t>*Add "other" operating expenses below:</t>
  </si>
  <si>
    <t>Position 3</t>
  </si>
  <si>
    <t>Position 4</t>
  </si>
  <si>
    <t>Position 5</t>
  </si>
  <si>
    <t>Position 6</t>
  </si>
  <si>
    <t>Position 7</t>
  </si>
  <si>
    <t>Position 8</t>
  </si>
  <si>
    <t>Position 9</t>
  </si>
  <si>
    <t>Position 10</t>
  </si>
  <si>
    <t>Position Title</t>
  </si>
  <si>
    <t>Number of Positions</t>
  </si>
  <si>
    <t>% of Time Allocated to Initiative</t>
  </si>
  <si>
    <t>Salary Expense: Existing Personnel (CV)</t>
  </si>
  <si>
    <t>Compensation: Existing Personnel (CV)</t>
  </si>
  <si>
    <t>Example: Vice President, Student Services</t>
  </si>
  <si>
    <t>Example: Advisors</t>
  </si>
  <si>
    <t>Salary Expense: New Personnel (CV)</t>
  </si>
  <si>
    <t>Compensation: New Personnel (CV)</t>
  </si>
  <si>
    <t>Yes</t>
  </si>
  <si>
    <t>No</t>
  </si>
  <si>
    <t>FT benefit rate</t>
  </si>
  <si>
    <t>PT benefit rate</t>
  </si>
  <si>
    <t>Salary inflator</t>
  </si>
  <si>
    <t>Receive benefits?</t>
  </si>
  <si>
    <t>Year hired</t>
  </si>
  <si>
    <t>Personnel Benefits Expense (CV)</t>
  </si>
  <si>
    <t>Total Salary Expense(CV)</t>
  </si>
  <si>
    <t>Total Personnel Benefits Expense (CV)</t>
  </si>
  <si>
    <t>Total Compensation (CV)</t>
  </si>
  <si>
    <t>Pricing and Revenue</t>
  </si>
  <si>
    <t>Expenditure Rates</t>
  </si>
  <si>
    <t>b. Part-time rate</t>
  </si>
  <si>
    <t>a. Full-time rate</t>
  </si>
  <si>
    <t>1. Tuition and fees</t>
  </si>
  <si>
    <t>b. Total fees assessed per credit hour</t>
  </si>
  <si>
    <t>New funding</t>
  </si>
  <si>
    <t>Reallocated funding</t>
  </si>
  <si>
    <t>Foundations</t>
  </si>
  <si>
    <t>Other third party sources</t>
  </si>
  <si>
    <t>Contracts</t>
  </si>
  <si>
    <t>Institutional support</t>
  </si>
  <si>
    <t>TOTAL DIRECT EXPENSE</t>
  </si>
  <si>
    <t>Grant Funding  (CV)</t>
  </si>
  <si>
    <t>TOTAL COMPENSATION EXPENDITURES</t>
  </si>
  <si>
    <t>Personnel Expense</t>
  </si>
  <si>
    <t>Operating Expense</t>
  </si>
  <si>
    <t>Salaries</t>
  </si>
  <si>
    <t>Benefits</t>
  </si>
  <si>
    <t>Cost per Student</t>
  </si>
  <si>
    <t>Cost per student w/ access to the initiative</t>
  </si>
  <si>
    <t>Cost per headcount student (institution)</t>
  </si>
  <si>
    <t>DO NOT ENTER DATA IN THIS TAB; ALL DATA ARE AUTOMATICALLY CALCULATED</t>
  </si>
  <si>
    <t>Faculty</t>
  </si>
  <si>
    <t>Student textbook support</t>
  </si>
  <si>
    <t>Student tuition waiver</t>
  </si>
  <si>
    <t>Student living (transit, childcare, emergency aid)</t>
  </si>
  <si>
    <t>ENROLLMENT</t>
  </si>
  <si>
    <t>INITIATIVE OPERATING EXPENDITURES</t>
  </si>
  <si>
    <t>TOTAL INITIATIVE OPERATING EXPENSE</t>
  </si>
  <si>
    <t>INITIATIVE PERSONNEL EXPENDITURES</t>
  </si>
  <si>
    <t>NEW PERSONNEL HIRES INVOLVED IN INITIATIVE</t>
  </si>
  <si>
    <t>EXISTING PERSONNEL INVOLVED IN INITIATIVE</t>
  </si>
  <si>
    <t>INITIATIVE PLAN OF FINANCE</t>
  </si>
  <si>
    <t>12 month average SCH load</t>
  </si>
  <si>
    <t>Projected Gross revenue</t>
  </si>
  <si>
    <t>Projected Net Revenue</t>
  </si>
  <si>
    <t>Student Credit Hours</t>
  </si>
  <si>
    <t>Number of students with access to the initiative</t>
  </si>
  <si>
    <t>Number of students enrolled in/utilizing the initiative</t>
  </si>
  <si>
    <t>Average SCH Load</t>
  </si>
  <si>
    <t>FTE faculty and instructors (CV)</t>
  </si>
  <si>
    <t>SCH per FTE Faculty</t>
  </si>
  <si>
    <t>Credit hour completion rate</t>
  </si>
  <si>
    <t>Retention Rate</t>
  </si>
  <si>
    <t>Institutional spending per credit hour</t>
  </si>
  <si>
    <t>Reduced "waste" from reduction in unproductive credits</t>
  </si>
  <si>
    <t>% reduction</t>
  </si>
  <si>
    <t>Initial unproductive credit hours (e.g., not completed)</t>
  </si>
  <si>
    <t>Retention Rate (Fall to Fall)</t>
  </si>
  <si>
    <t>Estimated credit hours (utilization population)</t>
  </si>
  <si>
    <t># of students impacted (utilization population)</t>
  </si>
  <si>
    <t>2. Student Credit Hour Load</t>
  </si>
  <si>
    <t>1. Retention Rate</t>
  </si>
  <si>
    <t>3. Credits Completed/Attempted</t>
  </si>
  <si>
    <t>Efficiency Metrics</t>
  </si>
  <si>
    <t>ROI Metrics</t>
  </si>
  <si>
    <t>Select annual Percent increase in faculty throughput (SCH per FTE Faculty)</t>
  </si>
  <si>
    <t>4. Faculty Throughput</t>
  </si>
  <si>
    <t>ROI and Efficiency Metrics</t>
  </si>
  <si>
    <t>b. Credit completion rate (CV)</t>
  </si>
  <si>
    <t>(CV) = calculated variable, no data entry required</t>
  </si>
  <si>
    <t>Technology</t>
  </si>
  <si>
    <t>Academic or student support</t>
  </si>
  <si>
    <t>General operating</t>
  </si>
  <si>
    <t>INITIATIVE FINANCIAL INDICATORS</t>
  </si>
  <si>
    <t>Sum for Graph Data</t>
  </si>
  <si>
    <t>Posted rate up to 12 credit hours</t>
  </si>
  <si>
    <t>Initiative Expense</t>
  </si>
  <si>
    <t>From an increase in retention</t>
  </si>
  <si>
    <t>Estimated retention rate</t>
  </si>
  <si>
    <t>Estimated student credit hour load</t>
  </si>
  <si>
    <t>RETURN ON INVESTMENT (ROI)</t>
  </si>
  <si>
    <t>UTILIZATION AND ACCESS RATES</t>
  </si>
  <si>
    <t>Projected Net Revenue from Retention</t>
  </si>
  <si>
    <t>Projected Net Revenue from SCH Load</t>
  </si>
  <si>
    <t>INITIATIVE DASHBOARD</t>
  </si>
  <si>
    <t>RETURN ON INVESTMENT (ROI) ESTIMATES</t>
  </si>
  <si>
    <t>Spending metrics shown on the dashboard include only direct expenditures (indirect costs are shown on the "Data Summary" tab)</t>
  </si>
  <si>
    <t>Projected Net Revenue from Initiative</t>
  </si>
  <si>
    <t>Existing personnel</t>
  </si>
  <si>
    <t>New personnel</t>
  </si>
  <si>
    <t>Projected Cumulative ROI from Initiative (Payback Period)</t>
  </si>
  <si>
    <t>State and local support</t>
  </si>
  <si>
    <t>Direct expense</t>
  </si>
  <si>
    <t>Total personnel expense</t>
  </si>
  <si>
    <t>Operating expenses</t>
  </si>
  <si>
    <t>Indirect costs</t>
  </si>
  <si>
    <t>Cost per student utilizing the initiative</t>
  </si>
  <si>
    <t>Student use/student access</t>
  </si>
  <si>
    <t>Student use/all headcount students</t>
  </si>
  <si>
    <t>Student with access/all headcount students</t>
  </si>
  <si>
    <t>From an increase in course taking</t>
  </si>
  <si>
    <t>1. Total student credit hours attempted (12 months)</t>
  </si>
  <si>
    <t>2. Total student credit hours completed (12 months)</t>
  </si>
  <si>
    <t>a. Average SCH load (CV)</t>
  </si>
  <si>
    <t>1. Retention rate (Fall to Fall)</t>
  </si>
  <si>
    <t>1. Personnel benefit rate (%)</t>
  </si>
  <si>
    <t>2. Overhead (Indirect) rate</t>
  </si>
  <si>
    <t>3. Operating expense % to be applied against gross revenue</t>
  </si>
  <si>
    <t>Total education and general (E&amp;G) spending</t>
  </si>
  <si>
    <t>a. Tuition rate per credit hour (indistrict)</t>
  </si>
  <si>
    <t>The indirect cost rate is applied to direct program costs to generate a full accounting of all costs (e.g., finance, HR, utilities, maintenance) and generally ranges from 25%-40%.</t>
  </si>
  <si>
    <t>Total enrollment 
(12-month unduplicated headcount)</t>
  </si>
  <si>
    <t>Brief description of the initiative:</t>
  </si>
  <si>
    <t>Institutional Budget Allocation (CV)</t>
  </si>
  <si>
    <t>State and Local Funding (CV)</t>
  </si>
  <si>
    <t>(Rate shown includes payroll taxes for social security (6.2%) and Medicare (1.45%). If your institution has a different part-time benefit rate please enter that rate.)</t>
  </si>
  <si>
    <t>Office supplies</t>
  </si>
  <si>
    <t>Information technology (CV)</t>
  </si>
  <si>
    <t>Computer software/licenses</t>
  </si>
  <si>
    <t>Instructional design/development</t>
  </si>
  <si>
    <t>Professional development/training</t>
  </si>
  <si>
    <t>Faculty recruitment</t>
  </si>
  <si>
    <t>Student recruitment/admissions</t>
  </si>
  <si>
    <t>Advising/coaching</t>
  </si>
  <si>
    <t>Contractual services</t>
  </si>
  <si>
    <t>Reference link to dashboard scroll bar</t>
  </si>
  <si>
    <t>Convert scroll bar units to percent (using tenths)</t>
  </si>
  <si>
    <t xml:space="preserve">Convert scroll bar units to percent </t>
  </si>
  <si>
    <t>Change in students for 1% change in retention (utilization population only)</t>
  </si>
  <si>
    <t>DATA FOR DASHBOARD GRAPHIC</t>
  </si>
  <si>
    <t>NO DATA ENTRY REQUIRED ON THIS TAB - CONTAINS BACKGROUND CALCULATIONS ONLY</t>
  </si>
  <si>
    <t>3. State Appropriations (performance funding)</t>
  </si>
  <si>
    <t>a. State appropriations per student credit hour (CV)</t>
  </si>
  <si>
    <t>4. Local appropriations</t>
  </si>
  <si>
    <t>a. Local appropriations per student credit hour (CV)</t>
  </si>
  <si>
    <t>*Assumes the retention rate for the college applies to the population utilizing the initiative; however, the rate could be tailored to students in the initiative on the "Institution-wide Data" tab.</t>
  </si>
  <si>
    <t>Credit Hour Completion Rate</t>
  </si>
  <si>
    <t>Reduction in unproductive credit hours (from prior year)</t>
  </si>
  <si>
    <t>"Cost" of initial unproductive credits</t>
  </si>
  <si>
    <t>EFFICIENCY IMPROVEMENT ESTIMATES</t>
  </si>
  <si>
    <t>*Graph 1</t>
  </si>
  <si>
    <t>Sum for Graph2</t>
  </si>
  <si>
    <t>*Graph 3</t>
  </si>
  <si>
    <t>*Graph 5</t>
  </si>
  <si>
    <t>*Graph 6</t>
  </si>
  <si>
    <t>*Graph 7</t>
  </si>
  <si>
    <t>*Graph 8</t>
  </si>
  <si>
    <t>To estimate potential efficiency improvement, enter the annual increase in credit completion and/or faculty throughput using the scroll bars below.</t>
  </si>
  <si>
    <t>Average FTE salary for adjunct faculty (CV)</t>
  </si>
  <si>
    <t>Default rate shown includes payroll taxes for social security (6.2%) and Medicare (1.45%); colleges may modify this rate if they have a different part-time benefit rate.</t>
  </si>
  <si>
    <t>FTE Faculty</t>
  </si>
  <si>
    <t>Estimated credit hours (total population)</t>
  </si>
  <si>
    <t>Average Adjunct Salary + Benefits</t>
  </si>
  <si>
    <t>"Leakage"</t>
  </si>
  <si>
    <t>Faculty Throughput (SCH/FTE Faculty)</t>
  </si>
  <si>
    <t>Potential Savings (Cost) in Adjunct Compensation</t>
  </si>
  <si>
    <t>Projected Change in "Unproductive" Credit Hours</t>
  </si>
  <si>
    <t>Projected Resources Used in More Efficient Credit Production</t>
  </si>
  <si>
    <t>Faculty Throughput Rate</t>
  </si>
  <si>
    <t>Projected Change in FTE Adjuncts</t>
  </si>
  <si>
    <t>Core expenses only (exclude auxiliary enterprises, hospitals and independent operations).</t>
  </si>
  <si>
    <t>Student Success Initiative Financial Model</t>
  </si>
  <si>
    <r>
      <t xml:space="preserve">Annual </t>
    </r>
    <r>
      <rPr>
        <b/>
        <i/>
        <sz val="11"/>
        <color theme="1"/>
        <rFont val="Calibri"/>
        <family val="2"/>
        <scheme val="minor"/>
      </rPr>
      <t xml:space="preserve">percentage point </t>
    </r>
    <r>
      <rPr>
        <b/>
        <sz val="11"/>
        <color theme="1"/>
        <rFont val="Calibri"/>
        <family val="2"/>
        <scheme val="minor"/>
      </rPr>
      <t>increase in credit completion rate (from dashboard scroll bar)</t>
    </r>
  </si>
  <si>
    <t>12 month average SCH Load</t>
  </si>
  <si>
    <r>
      <t xml:space="preserve">Annual </t>
    </r>
    <r>
      <rPr>
        <b/>
        <i/>
        <sz val="11"/>
        <color theme="1"/>
        <rFont val="Calibri"/>
        <family val="2"/>
        <scheme val="minor"/>
      </rPr>
      <t xml:space="preserve">percent </t>
    </r>
    <r>
      <rPr>
        <b/>
        <sz val="11"/>
        <color theme="1"/>
        <rFont val="Calibri"/>
        <family val="2"/>
        <scheme val="minor"/>
      </rPr>
      <t>increase in faculty throughput (from dashboard scroll bar)</t>
    </r>
  </si>
  <si>
    <t>Year 0
(Start-up)</t>
  </si>
  <si>
    <t>Year 0 
(Base Year)</t>
  </si>
  <si>
    <t>Year 
(Base Year)</t>
  </si>
  <si>
    <t>Year 0
(Base Year)</t>
  </si>
  <si>
    <t>Full-time FTE faculty and instructors</t>
  </si>
  <si>
    <t>Part-time FTE faculty and instructors</t>
  </si>
  <si>
    <t>Average 12-month course load for full-time faculty</t>
  </si>
  <si>
    <t>Default course load for full-time faculty is set at 8 courses; colleges may adjust as appropriate.</t>
  </si>
  <si>
    <t xml:space="preserve">Outyear expenses are inflated at 2% annually. If information on outyear operating expenses are available (or non-recurring), data may be adjusted directly in the outyear cells. </t>
  </si>
  <si>
    <t xml:space="preserve">Salaries are inflated at 2% annually. The benefit rate for non-benefit eligible staff (e.g., part-time staff) is assessed at 7.65% to reflect payroll taxes for Social Security and Medicare (unless the rate is modified on the "Institution-wide Data" tab). </t>
  </si>
  <si>
    <t>Average increase in SCH load</t>
  </si>
  <si>
    <t xml:space="preserve">This field reflects the percentage to be applied against gross revenue to calculate net revenue. It accounts for the incremental cost of serving more students resulting from a change in retention or course taking. The default rate is set at 45%; colleges may adjust this rate to reflect institutional data and experience. Industry estimates of this incremental cost percentage range from 30%-60%.  </t>
  </si>
  <si>
    <t>Report total credits (do not restrict to credential-seeking students only).</t>
  </si>
  <si>
    <t>May calculated as: total number of adjunct faculty (fall and spring) / 3</t>
  </si>
  <si>
    <t>Average adjunct faculty stipend/salary for teaching a 3 credit course</t>
  </si>
  <si>
    <t>TOTAL INITIATIVE FUNDING</t>
  </si>
  <si>
    <t>Other Funding*</t>
  </si>
  <si>
    <t>*Describe "other" funding:</t>
  </si>
  <si>
    <t xml:space="preserve">Grant funding is projected to remain constant; however, if the grant funding is nonrecurring, it may be adjusted directly in the outyear cells. </t>
  </si>
  <si>
    <t>Appropriations</t>
  </si>
  <si>
    <t>Initiative Funding</t>
  </si>
  <si>
    <t>Grant funding</t>
  </si>
  <si>
    <t>Other funding</t>
  </si>
  <si>
    <t>TOTAL FUNDING</t>
  </si>
  <si>
    <t>Annual Net Revenue (Direct Costs Only; excludes ROI)</t>
  </si>
  <si>
    <t>Cumulative Net Revenue (Direct Costs Only; excludes ROI)</t>
  </si>
  <si>
    <t>Total Annual Net Revenue (excludes ROI)</t>
  </si>
  <si>
    <t>Total Cumulative Net Revenue (excludes ROI)</t>
  </si>
  <si>
    <t>Current-year Data</t>
  </si>
  <si>
    <t xml:space="preserve">Recommend using the rate for all first-time undergraduates (full-time, part-time, and transfer students), or the rate for the population of students impacted by the initiative. </t>
  </si>
  <si>
    <t>Average Annual Salary</t>
  </si>
  <si>
    <t>Average Annual Salary in First Year of Hire</t>
  </si>
  <si>
    <t>c. Benefit allowance</t>
  </si>
  <si>
    <t>Calculate prorated benefit allowance provided to FT Staff (if applicable, this is not common)</t>
  </si>
  <si>
    <t>Student Services (non-personnel expenses)</t>
  </si>
  <si>
    <t>Academic Support (non-personnel expenses)</t>
  </si>
  <si>
    <t>Default is zero. If your college's benefit structure includes a set dollar allowance for full-time employees in addition to (or instead of) a percentage benefit rate (row 37), enter the dollar amount of the benefit allowance. [This is not common]</t>
  </si>
  <si>
    <t>*note: In cohort-based initiatives, retention estimates in Years 4 and 5 may require adjustment to reflect the graduation of students initially enrolled in Years 1 or 2.</t>
  </si>
  <si>
    <t>*note: In cohort-based initiatives, participation estimates may need to be adjusted in Years 4 and 5 (row 31) to reflect the graduation of students initially enrolled in Years 1 and 2.</t>
  </si>
  <si>
    <t>Position 11</t>
  </si>
  <si>
    <t>Position 12</t>
  </si>
  <si>
    <t>Position 13</t>
  </si>
  <si>
    <t>Position 14</t>
  </si>
  <si>
    <t>Position 15</t>
  </si>
  <si>
    <t>Total credit hours</t>
  </si>
  <si>
    <t>Initiative Direct Spending</t>
  </si>
  <si>
    <t>*Graph 4 layout</t>
  </si>
  <si>
    <t>Expenditure Detail</t>
  </si>
  <si>
    <t>EXPENDITURE METRICS</t>
  </si>
  <si>
    <t>EFFICIENCY SAVINGS/LOSS</t>
  </si>
  <si>
    <t>Estimated faculty throughput rate (SCH/FTE Faculty)</t>
  </si>
  <si>
    <t>**Data for Graphs 6-12 are on the ROI&amp;Efficiency calculations tab</t>
  </si>
  <si>
    <t>*Graph 4&amp;13 data</t>
  </si>
  <si>
    <t>Reduction (Increase) in Adjunct Faculty</t>
  </si>
  <si>
    <t>*SCH Load utilizes the rate users input for calculation #2 below; if data is not input it defaults to the baseline rate.</t>
  </si>
  <si>
    <t>Estimated change in number of FTE adjunct faculty</t>
  </si>
  <si>
    <t>Projected Faculty Compensation Savings (Expense)</t>
  </si>
  <si>
    <t>General Data Reporting Instructions:</t>
  </si>
  <si>
    <t>Tab-specific Data Reporting Instructions</t>
  </si>
  <si>
    <t>This rates typically reflects benefits related to retirement, health insurance, payroll taxes, unemployment insurance, etc.</t>
  </si>
  <si>
    <t>General Instructions</t>
  </si>
  <si>
    <t xml:space="preserve">Enter institution-level data for the metrics indicated, using the definitions provided in the comments section. </t>
  </si>
  <si>
    <r>
      <rPr>
        <b/>
        <sz val="11"/>
        <color theme="1"/>
        <rFont val="Calibri"/>
        <family val="2"/>
        <scheme val="minor"/>
      </rPr>
      <t>2. Assemble a data team</t>
    </r>
    <r>
      <rPr>
        <sz val="11"/>
        <color theme="1"/>
        <rFont val="Calibri"/>
        <family val="2"/>
        <scheme val="minor"/>
      </rPr>
      <t xml:space="preserve"> to assist with populating the template. The recommended team members include: project staff familiar with the initiative; staff from institutional research, human resources, and finance.</t>
    </r>
  </si>
  <si>
    <t xml:space="preserve">• "New funding" should include new line item budget support and/or new revenue that will be directed to the initiative (e.g., revenue from a student success fee). </t>
  </si>
  <si>
    <r>
      <rPr>
        <b/>
        <sz val="11"/>
        <color theme="1"/>
        <rFont val="Calibri"/>
        <family val="2"/>
        <scheme val="minor"/>
      </rPr>
      <t>3. Enter data requested on the YELLOW tabs:</t>
    </r>
    <r>
      <rPr>
        <sz val="11"/>
        <color theme="1"/>
        <rFont val="Calibri"/>
        <family val="2"/>
        <scheme val="minor"/>
      </rPr>
      <t xml:space="preserve"> Members of the data team should populate the model with requested information specific to the college (dark yellow tab) and the selected initiative (four light yellow tabs). 
</t>
    </r>
    <r>
      <rPr>
        <b/>
        <sz val="11"/>
        <color theme="1"/>
        <rFont val="Calibri"/>
        <family val="2"/>
        <scheme val="minor"/>
      </rPr>
      <t/>
    </r>
  </si>
  <si>
    <t>• Institutional data should be reported for the year identified as "Year 0/baseline"; if data is unavailable for this year, use the most recent year of data available.</t>
  </si>
  <si>
    <t>• Use the drop down box to indicate whether the position is eligible for benefits.</t>
  </si>
  <si>
    <t>• All other staffing inputs should follow the guidelines provided above for existing personnel.</t>
  </si>
  <si>
    <t xml:space="preserve">• Expenses are automatically projected to continue in the outyears and are inflated at 2% annually. If expenses are not recurring, enter zero in the outyears. If outyear expenses are known, they may be entered directly for those years, overwriting the formulas provided. </t>
  </si>
  <si>
    <t xml:space="preserve">• Year 1 is the first year that students are expected to enroll or participate in the initiative. </t>
  </si>
  <si>
    <t>• Student credit hours should include all credit hours (not restricted to credential-seeking students); exclude early college (or dual enrollment) students unless they will be participating in, or impacted by, the initiative.</t>
  </si>
  <si>
    <t>• "Number of students with access to the initiative" should reflect the population of students that are eligible to participate in the initiative. 
(e.g., for an initiative tailored to low-income students, the access population may be the number of Pell-eligible students; for an advising initiative focused on beginning students, the access population may be the number of first-year students)</t>
  </si>
  <si>
    <t xml:space="preserve">Report personnel expenses for staff involved in the initiative. </t>
  </si>
  <si>
    <t>•  If "Yes" is selected, the full-time benefit rate reported on "Institution-wide Data" tab (row 37) will be applied to the salary cost to estimate the cost of employee benefits.</t>
  </si>
  <si>
    <t>•  If "No" is selected, the default part-time benefit rate reported on "Institution-wide Data" tab (row 38) will be applied to the salary cost to reflect the cost of payroll taxes.</t>
  </si>
  <si>
    <t xml:space="preserve">Report operating expenses for staff involved in the initiative. </t>
  </si>
  <si>
    <t xml:space="preserve">• Operating expenses should include only non-compensation expenditures, unless included as part of a contractual agreement (e.g., consultants, and contracted marketing services, temporary help agencies, etc.). </t>
  </si>
  <si>
    <t>• Non-personnel students services expenses may include printing of marketing materials, student recruitment booth or material expenses, or advising/coaching services paid under a contractual agreement.</t>
  </si>
  <si>
    <r>
      <t xml:space="preserve">• </t>
    </r>
    <r>
      <rPr>
        <i/>
        <sz val="11"/>
        <color theme="1"/>
        <rFont val="Calibri"/>
        <family val="2"/>
        <scheme val="minor"/>
      </rPr>
      <t xml:space="preserve">Report existing staff positions in the top portion of the spreadsheet. </t>
    </r>
  </si>
  <si>
    <r>
      <t xml:space="preserve">• </t>
    </r>
    <r>
      <rPr>
        <i/>
        <sz val="11"/>
        <color theme="1"/>
        <rFont val="Calibri"/>
        <family val="2"/>
        <scheme val="minor"/>
      </rPr>
      <t xml:space="preserve">Report new staff positions in the bottom portion of the spreadsheet. </t>
    </r>
    <r>
      <rPr>
        <sz val="11"/>
        <color theme="1"/>
        <rFont val="Calibri"/>
        <family val="2"/>
        <scheme val="minor"/>
      </rPr>
      <t xml:space="preserve">[New staff hired into existing positions may be reported at the college's discretion as either new or existing staff). </t>
    </r>
  </si>
  <si>
    <t>Data Metrics and ROI Estimates</t>
  </si>
  <si>
    <t>• Retention should reflect annual fall-to-fall retention for all first-time students (including full-time, part-time and transfer students), or the rate for the subgroup of students impacted by the initiative.</t>
  </si>
  <si>
    <t xml:space="preserve">• Report operating expenses applicable to the initiative; categories that are not relevant for a particular initiative may remain blank. </t>
  </si>
  <si>
    <t>Annual Retention Rate</t>
  </si>
  <si>
    <t>Average Student Credit Hour (SCH) Load</t>
  </si>
  <si>
    <t>• Year 0/baseline year is the "start-up" or "planning" year for the initiative (before students are enrolled in the initiative). This is frequently the current academic year.</t>
  </si>
  <si>
    <t>Provide a brief description of the initiative and the expected number of students that will be eligible or participate.</t>
  </si>
  <si>
    <t xml:space="preserve">• Compensation reallocated to the initiative may be drawn from information reported on the "Initiative - Personnel" tab: include only existing staff (not new hires) and the portion of their time spent on the initiative; EXCLUDE any reported staff time that is funded through contracts or grants (it will be captured in the contract or grant funding that is reported). </t>
  </si>
  <si>
    <t xml:space="preserve">• "State and Local Funding" should include state or local contracts to support the initiative. (State appropriations are typically included in general fund revenues and allocated as institutional support; they do not need to be reported separately unless dedicated funding was specifically provided for the initiative). </t>
  </si>
  <si>
    <t xml:space="preserve">• "Grant Funding" should include grants from non-profit foundations, or other third parties such as state or federal governments (e.g., First in the World Grants, TRIO grants, Perkins grants). </t>
  </si>
  <si>
    <t>• Report the number of initiative staff in each position.</t>
  </si>
  <si>
    <t>• Report the proportion of time staff in each position are expected to spend on the initiative; time estimates may vary by year. If staff in the same position are expected to spend different amounts of time on the initiative, estimate the average hours across staff or enter staff on separate lines).</t>
  </si>
  <si>
    <t>• Use the drop down box to indicate the first year in which the position will be staffed. The percent of time allocated to the initiative should align with the year in which the position is filled. If a position is filled mid-year, enter the annual salary and adjust their percentage of time accordingly (e.g., employed full-time for a half year = 50% the first year; employed half-time for a half year = 25% time the first year, etc.)</t>
  </si>
  <si>
    <r>
      <t xml:space="preserve">• </t>
    </r>
    <r>
      <rPr>
        <b/>
        <sz val="11"/>
        <color theme="1"/>
        <rFont val="Calibri"/>
        <family val="2"/>
        <scheme val="minor"/>
      </rPr>
      <t>Figures 1-3</t>
    </r>
    <r>
      <rPr>
        <sz val="11"/>
        <color theme="1"/>
        <rFont val="Calibri"/>
        <family val="2"/>
        <scheme val="minor"/>
      </rPr>
      <t xml:space="preserve"> on the dashboard display key metrics for the initiative: total initiative funding and expenses; aggregate expenditures by primary spending categories; utilization rate (students enrolled as a percent of students with access) and cost per student enrolled. Descriptions of how to interpret these metrics are provided next to each graphic.</t>
    </r>
  </si>
  <si>
    <t>Return on Investment (ROI) Estimates</t>
  </si>
  <si>
    <t>Efficiency Improvement Estimates</t>
  </si>
  <si>
    <t xml:space="preserve">Note: SCH Load in Year 0  equals the baseline rate calculated on the "Institution-wide Data" tab (row 16). </t>
  </si>
  <si>
    <t xml:space="preserve">Note: Credit Hour Completion in Year 0  equals the baseline rate calculated on the "Institution-wide Data" tab (row 17). </t>
  </si>
  <si>
    <t>"Data Summary" tab:</t>
  </si>
  <si>
    <t>Report dedicated sources of funding for the initiative.</t>
  </si>
  <si>
    <r>
      <t xml:space="preserve">• </t>
    </r>
    <r>
      <rPr>
        <b/>
        <sz val="11"/>
        <color theme="1"/>
        <rFont val="Calibri"/>
        <family val="2"/>
        <scheme val="minor"/>
      </rPr>
      <t>Funding should NOT be forced to equal initiative expenditures</t>
    </r>
    <r>
      <rPr>
        <sz val="11"/>
        <color theme="1"/>
        <rFont val="Calibri"/>
        <family val="2"/>
        <scheme val="minor"/>
      </rPr>
      <t xml:space="preserve"> (discrepancies indicate unmet funding needs that may require additional consideration). Any categories in which funding is not expected may be left blank.</t>
    </r>
  </si>
  <si>
    <t xml:space="preserve">• Report ALL positions (or individual staff) involved in the initiative (e.g., project staff, faculty/instructors, Deans, senior leadership, and student support staff such as admissions, advisors, institutional research, admissions, etc.). All staff time should be captured regardless of whether it is internally or externally funded. (For initiatives with grant funding, DO NOT restrict reporting to only those staff/positions included in the grant budget).  </t>
  </si>
  <si>
    <t xml:space="preserve">• Report the average annual salary for the staff or positions reported. Do NOT adjust salaries to reflect the portion of time spent on the initiative; the model will automatically adjust the compensation expense based on the percentage of time entered in columns G-J. Salaries are automatically inflated at a rate of 2% per year.
</t>
  </si>
  <si>
    <t xml:space="preserve">Note: Retention in Year 0  equals the baseline rate reported on the "Institution-wide Data" tab (row 21). The retention rate in Year 1 is unchanged because the initiative's impact on annual retention will occur in the Fall of Year 2; this is also when the financial impact first occurs.   </t>
  </si>
  <si>
    <r>
      <t xml:space="preserve">• </t>
    </r>
    <r>
      <rPr>
        <b/>
        <sz val="11"/>
        <color theme="1"/>
        <rFont val="Calibri"/>
        <family val="2"/>
        <scheme val="minor"/>
      </rPr>
      <t>Figure 5</t>
    </r>
    <r>
      <rPr>
        <sz val="11"/>
        <color theme="1"/>
        <rFont val="Calibri"/>
        <family val="2"/>
        <scheme val="minor"/>
      </rPr>
      <t xml:space="preserve"> shows when the initiative is expected to "breakeven" (e.g., pay for itself) and how long it may take for "payback" to occur (e.g., recoup the costs of upfront investments). Breakeven reflects the net revenue generated from the initiative (shown in Figure 5) minus the program expenses. "Payback" reflects the cumulative net revenue generated minus the cumulative expenses of the program. If the net revenue generated from the initiative is insufficient to fully support it, the breakeven and payback will be negative.</t>
    </r>
  </si>
  <si>
    <t>(e.g., new budget line item; new revenue from fees)</t>
  </si>
  <si>
    <r>
      <t xml:space="preserve">Include funding reallocated from existing budget line items and/or EXISTING personnel costs (reported on the "Initiative - Personnel Expenses" tab) that are NOT funded from other restricted or grant funding already reported below in lines 19-27. </t>
    </r>
    <r>
      <rPr>
        <b/>
        <sz val="11"/>
        <color theme="1"/>
        <rFont val="Calibri"/>
        <family val="2"/>
        <scheme val="minor"/>
      </rPr>
      <t xml:space="preserve"> Do NOT use line 17 to balance total funding and total expenses for the intiative</t>
    </r>
    <r>
      <rPr>
        <sz val="11"/>
        <color theme="1"/>
        <rFont val="Calibri"/>
        <family val="2"/>
        <scheme val="minor"/>
      </rPr>
      <t>. See the instruction tab for additional guidance.</t>
    </r>
  </si>
  <si>
    <t>Invest in Advising Technology</t>
  </si>
  <si>
    <t>Adopt new technology to assist with student degree planning.</t>
  </si>
  <si>
    <t>Dean</t>
  </si>
  <si>
    <t>Director of Advising</t>
  </si>
  <si>
    <t>Advisors</t>
  </si>
  <si>
    <t>IT staff</t>
  </si>
  <si>
    <t>FT Advisor</t>
  </si>
  <si>
    <t>PT Advisor</t>
  </si>
  <si>
    <r>
      <t>Projected Annual ROI from Initiative (Breakeven)</t>
    </r>
    <r>
      <rPr>
        <b/>
        <sz val="10"/>
        <color theme="1"/>
        <rFont val="Calibri"/>
        <family val="2"/>
        <scheme val="minor"/>
      </rPr>
      <t xml:space="preserve"> [Net Revenue from Initiative minus Direct Expense]</t>
    </r>
  </si>
  <si>
    <r>
      <t>Net Impact</t>
    </r>
    <r>
      <rPr>
        <b/>
        <sz val="10"/>
        <color theme="1"/>
        <rFont val="Calibri"/>
        <family val="2"/>
        <scheme val="minor"/>
      </rPr>
      <t xml:space="preserve"> [Total Funding plus Net Revenue from Initiative, minus Direct Expense]</t>
    </r>
  </si>
  <si>
    <t>*Graph 4</t>
  </si>
  <si>
    <t>Net Impact</t>
  </si>
  <si>
    <t>*Fall-to-fall retention impacts Year 2 of the initiative, so there is no financial impact in year 1. **This calculates the impact off the baseline to estimate the impact of the initiative (instead of year-over-year change to reflect budgetary impact).</t>
  </si>
  <si>
    <t>*Assumes the average SCH Load for the college applies to the population utilizing the initiative.</t>
  </si>
  <si>
    <t>*This calculates the impact off the baseline to estimate the impact of the initiative (instead of year-over-year change to reflect budgetary impact).</t>
  </si>
  <si>
    <t>*Assumes the credit hour completion rate for the college applies to the population utilizing the initiative.</t>
  </si>
  <si>
    <t>*E&amp;G per SCH</t>
  </si>
  <si>
    <t>*Compared to baseline (not prior year). This ONLY reflects impact from an increase in SCH as a result of the initiative (it does not estimate the impact from natural enrollment growth.)</t>
  </si>
  <si>
    <t>*Assumes impact will affect adjunct faculty, not FT-Faculty. Pay rates inflated by 2% annually.</t>
  </si>
  <si>
    <t>*Additional credit hours if utilization pop increases SCH load from #2 above.</t>
  </si>
  <si>
    <t>*Hold this constant at the baseline rate so the throughput metric isolates the impact of new credit hours from the initiative (alternately, if this row uses average SCHload*total population, it will also add in the additional faculty required for general enrollment growth).</t>
  </si>
  <si>
    <t>*Number of faculty required at given "SCH per FTE faculty" rate.</t>
  </si>
  <si>
    <t>*SCH Load is adjusted using the rate users input for calculation #2 above.</t>
  </si>
  <si>
    <t>*Compared to baseline (not prior year).</t>
  </si>
  <si>
    <t>*Calculates reduction relative to "baseline" (not prior year).</t>
  </si>
  <si>
    <t>*Only includes students utilizing the initiative.</t>
  </si>
  <si>
    <t>Additional credit hours from increase in SCH load (utilization population)</t>
  </si>
  <si>
    <t>This template includes SAMPLE data for illustrative purposes only; it does not reflect data from an actual initiative.</t>
  </si>
  <si>
    <t xml:space="preserve">The Student Success Initiative Financial Model is an initiative-agnostic model to assist colleges as they consider making investments in different student success initiatives. </t>
  </si>
  <si>
    <t xml:space="preserve">The model assists colleges in evaluating the required expenditures and funding necessary to support a new (or re-envisioned) student success initiative, as well as the potential new institutional revenue resulting from initiative-related improvements in student outcomes (retention and credit hours). </t>
  </si>
  <si>
    <t>EDUCAUSE Student Success Initiative Financial Model</t>
  </si>
  <si>
    <t>University of X</t>
  </si>
  <si>
    <t>2. Total state and local appropriations revenue</t>
  </si>
  <si>
    <t>a. State and local appropriations per credit hour</t>
  </si>
  <si>
    <r>
      <t xml:space="preserve">Report total state and local appropriations received by the college, if applicable.
</t>
    </r>
    <r>
      <rPr>
        <i/>
        <sz val="10"/>
        <color theme="1"/>
        <rFont val="Calibri"/>
        <family val="2"/>
        <scheme val="minor"/>
      </rPr>
      <t xml:space="preserve">Note: To exclude state and local appropriations from the ROI calculations, enter 0; the net revenue impact shown on the Dashboard ROI metrics will then only show the additional revenue generated from tuition &amp; fees. </t>
    </r>
  </si>
  <si>
    <t>Estimated net revenue show on the dashboard reflects the projected change in annual student retention and average student credit hour load modeled on the "ROI and Efficiency" tab.</t>
  </si>
  <si>
    <t>Cumulative</t>
  </si>
  <si>
    <t>Percent ROI (Annual Breakeven)</t>
  </si>
  <si>
    <t>Percent ROI (Cumulative Payback)</t>
  </si>
  <si>
    <t>Percent Return on Investment (Annual Breakeven)</t>
  </si>
  <si>
    <t>*new graph 6</t>
  </si>
  <si>
    <t>• The spreadsheets are locked to prevent accidental editing of formulas. The password to unlock the spreadsheets is "ROI".</t>
  </si>
  <si>
    <t xml:space="preserve">• "Reallocated Funding" should include the reallocation of existing budget dollars and/or the compensation of existing staff reallocated to the initiative. Examples of funding to report on this line include: existing personnel with time reallocated to the initiative; time "purchased" from existing service line personnel (e.g., IT or instructional designers), and/or savings attributed to existing vacancies (do not report personnel hires in new positions as reallocated funding). DO NOT use this line to "balance" funding and expenses by assuming the initiative will be automatically funded with general fund revenue; only confirmed funding should be reported. 
</t>
  </si>
  <si>
    <t>"1. Institution-wide Data" tab:</t>
  </si>
  <si>
    <t>"2b. Initiative - Plan of Finance" tab:</t>
  </si>
  <si>
    <t>"2c. Initiative - Personnel Expenses" tab:</t>
  </si>
  <si>
    <t>"2d. Initiative - Operating Expenses" tab:</t>
  </si>
  <si>
    <r>
      <t xml:space="preserve">• </t>
    </r>
    <r>
      <rPr>
        <b/>
        <sz val="11"/>
        <color theme="1"/>
        <rFont val="Calibri"/>
        <family val="2"/>
        <scheme val="minor"/>
      </rPr>
      <t>Figure 9</t>
    </r>
    <r>
      <rPr>
        <sz val="11"/>
        <color theme="1"/>
        <rFont val="Calibri"/>
        <family val="2"/>
        <scheme val="minor"/>
      </rPr>
      <t xml:space="preserve"> shows the cumulative net revenue impact from projected changes in retention and average student credit hour load (as input in Figures 7 and 8).</t>
    </r>
  </si>
  <si>
    <r>
      <t xml:space="preserve">• </t>
    </r>
    <r>
      <rPr>
        <b/>
        <sz val="11"/>
        <color theme="1"/>
        <rFont val="Calibri"/>
        <family val="2"/>
        <scheme val="minor"/>
      </rPr>
      <t>Figure 4</t>
    </r>
    <r>
      <rPr>
        <sz val="11"/>
        <color theme="1"/>
        <rFont val="Calibri"/>
        <family val="2"/>
        <scheme val="minor"/>
      </rPr>
      <t xml:space="preserve"> shows the initial funding and expenses for the initiative (from Figure 1), as well as the additional net revenue projected from changes in retention and SCH load. The net revenue includes revenue from tuition and fees and state appropriations, and accounts for the extra costs associated with increased enrollment/course taking. The net impact reflects the annual funding and projected net revenue, minus the annual initiative expenses.</t>
    </r>
  </si>
  <si>
    <r>
      <t xml:space="preserve">• </t>
    </r>
    <r>
      <rPr>
        <b/>
        <i/>
        <sz val="11"/>
        <color theme="1"/>
        <rFont val="Calibri"/>
        <family val="2"/>
        <scheme val="minor"/>
      </rPr>
      <t>Figure 10</t>
    </r>
    <r>
      <rPr>
        <i/>
        <sz val="11"/>
        <color theme="1"/>
        <rFont val="Calibri"/>
        <family val="2"/>
        <scheme val="minor"/>
      </rPr>
      <t xml:space="preserve"> - Credit Hour Completion Rate:</t>
    </r>
    <r>
      <rPr>
        <sz val="11"/>
        <color theme="1"/>
        <rFont val="Calibri"/>
        <family val="2"/>
        <scheme val="minor"/>
      </rPr>
      <t xml:space="preserve"> Use the slide bar to enter the annual percentage point increase projected in the credit hour completion rate as a result of the initiative. If the initiative is not expected to impact the completion rate, it may remain at zero.</t>
    </r>
  </si>
  <si>
    <r>
      <t xml:space="preserve">• </t>
    </r>
    <r>
      <rPr>
        <b/>
        <sz val="11"/>
        <color theme="1"/>
        <rFont val="Calibri"/>
        <family val="2"/>
        <scheme val="minor"/>
      </rPr>
      <t>Figures 10 and 11</t>
    </r>
    <r>
      <rPr>
        <sz val="11"/>
        <color theme="1"/>
        <rFont val="Calibri"/>
        <family val="2"/>
        <scheme val="minor"/>
      </rPr>
      <t xml:space="preserve"> show potential increases in academic efficiency from a reduction in "unproductive" credit hours (e.g., credits hours that were attempted but not completed). </t>
    </r>
  </si>
  <si>
    <r>
      <t xml:space="preserve">• </t>
    </r>
    <r>
      <rPr>
        <b/>
        <sz val="11"/>
        <color theme="1"/>
        <rFont val="Calibri"/>
        <family val="2"/>
        <scheme val="minor"/>
      </rPr>
      <t>Figure 11</t>
    </r>
    <r>
      <rPr>
        <sz val="11"/>
        <color theme="1"/>
        <rFont val="Calibri"/>
        <family val="2"/>
        <scheme val="minor"/>
      </rPr>
      <t xml:space="preserve"> shows the estimated reduction in unproductive credit hours (line graph) and the total cost of those hours to the institution (bar graph; based on E&amp;G spending per SCH). Although improvements in this metric do not generate new revenue (because students pay for the credit hours whether or not they are completed), improvements in this metric translate into a more efficient use of institutional resources. </t>
    </r>
  </si>
  <si>
    <r>
      <t xml:space="preserve">• </t>
    </r>
    <r>
      <rPr>
        <b/>
        <i/>
        <sz val="11"/>
        <color theme="1"/>
        <rFont val="Calibri"/>
        <family val="2"/>
        <scheme val="minor"/>
      </rPr>
      <t>Figure 12</t>
    </r>
    <r>
      <rPr>
        <i/>
        <sz val="11"/>
        <color theme="1"/>
        <rFont val="Calibri"/>
        <family val="2"/>
        <scheme val="minor"/>
      </rPr>
      <t xml:space="preserve"> - Faculty Throughput Rate:</t>
    </r>
    <r>
      <rPr>
        <sz val="11"/>
        <color theme="1"/>
        <rFont val="Calibri"/>
        <family val="2"/>
        <scheme val="minor"/>
      </rPr>
      <t xml:space="preserve"> Faculty throughput is measured by "student credit hours per full-time equivalent faculty." Use the slide bar to enter an annual percent increase in faculty throughput. 
If the initiative is expected to increase retention/course taking, new faculty will be required to meet the increase in course taking unless faculty throughput rises. </t>
    </r>
  </si>
  <si>
    <r>
      <t xml:space="preserve">• </t>
    </r>
    <r>
      <rPr>
        <b/>
        <sz val="11"/>
        <color theme="1"/>
        <rFont val="Calibri"/>
        <family val="2"/>
        <scheme val="minor"/>
      </rPr>
      <t>Figure 13</t>
    </r>
    <r>
      <rPr>
        <sz val="11"/>
        <color theme="1"/>
        <rFont val="Calibri"/>
        <family val="2"/>
        <scheme val="minor"/>
      </rPr>
      <t xml:space="preserve"> shows the projected increase in FTE faculty required to accommodate an increase in course taking (line graph), and the total compensation cost if adjunct faculty are hired to meet those instructional demands (bar graph). Improvements in this metric do not generate new revenue, but can reduce compensation expenditures. Increases in faculty throughput can be achieved by optimizing course section size, and reducing low-enrollment sections, courses, and programs. </t>
    </r>
  </si>
  <si>
    <r>
      <t xml:space="preserve">• </t>
    </r>
    <r>
      <rPr>
        <b/>
        <sz val="11"/>
        <color theme="1"/>
        <rFont val="Calibri"/>
        <family val="2"/>
        <scheme val="minor"/>
      </rPr>
      <t>Figures 12 and 13</t>
    </r>
    <r>
      <rPr>
        <sz val="11"/>
        <color theme="1"/>
        <rFont val="Calibri"/>
        <family val="2"/>
        <scheme val="minor"/>
      </rPr>
      <t xml:space="preserve"> show how potential changes in academic efficiency, measured by "faculty throughput,"  can impact hiring and compensation expenditures.  </t>
    </r>
  </si>
  <si>
    <r>
      <t xml:space="preserve">• </t>
    </r>
    <r>
      <rPr>
        <b/>
        <sz val="11"/>
        <color theme="1"/>
        <rFont val="Calibri"/>
        <family val="2"/>
        <scheme val="minor"/>
      </rPr>
      <t>Figures 7-9</t>
    </r>
    <r>
      <rPr>
        <sz val="11"/>
        <color theme="1"/>
        <rFont val="Calibri"/>
        <family val="2"/>
        <scheme val="minor"/>
      </rPr>
      <t xml:space="preserve"> summarize the projected change in net revenue from estimated changes in student retention and average student credit hour load.</t>
    </r>
  </si>
  <si>
    <r>
      <t xml:space="preserve">• </t>
    </r>
    <r>
      <rPr>
        <b/>
        <sz val="11"/>
        <color theme="1"/>
        <rFont val="Calibri"/>
        <family val="2"/>
        <scheme val="minor"/>
      </rPr>
      <t>Figures 4-6</t>
    </r>
    <r>
      <rPr>
        <sz val="11"/>
        <color theme="1"/>
        <rFont val="Calibri"/>
        <family val="2"/>
        <scheme val="minor"/>
      </rPr>
      <t xml:space="preserve"> summarize the projected change in net revenue AFTER estimated changes in student retention and average student credit hour load are entered on the "Success Metric &amp; ROI Estimates" tab.</t>
    </r>
  </si>
  <si>
    <t xml:space="preserve">Displays key metrics in tabular format; all data underlying the Figures on the "Dashboard Graphics" tab are shown on this tab. </t>
  </si>
  <si>
    <t>Dashboards</t>
  </si>
  <si>
    <t xml:space="preserve">After data entry on the yellow tabs is complete, the dashboard tabs will summarize key metrics for the initiative. The dashboard also shows the estimated the financial ROI from the initiative for alternate scenarios of student performance modeled on the "Success Metric &amp; ROI Estimates" tab.  </t>
  </si>
  <si>
    <t xml:space="preserve">Colleges can estimate the financial ROI from the initiative by modeling alternate scenarios of student performance on the "Success Metric &amp; ROI Estimates" tab.  </t>
  </si>
  <si>
    <t xml:space="preserve">Note: Faculty throughput in Year 0  equals the baseline rate calculated from total student credits hours and FTE faculty reported on the  "Institution-wide Data" tab (rows 14 and 52). </t>
  </si>
  <si>
    <t>"Success Metric &amp; ROI Estimates" tab:</t>
  </si>
  <si>
    <t>"Dashboard Graphics" tab:</t>
  </si>
  <si>
    <t>"2a. Initiative - Description &amp; Enrollment" tab:</t>
  </si>
  <si>
    <r>
      <t xml:space="preserve">• </t>
    </r>
    <r>
      <rPr>
        <b/>
        <sz val="11"/>
        <color theme="1"/>
        <rFont val="Calibri"/>
        <family val="2"/>
        <scheme val="minor"/>
      </rPr>
      <t>Figure 6</t>
    </r>
    <r>
      <rPr>
        <sz val="11"/>
        <color theme="1"/>
        <rFont val="Calibri"/>
        <family val="2"/>
        <scheme val="minor"/>
      </rPr>
      <t xml:space="preserve"> shows  the projected annual ROI (breakeven point shown in Figure 5) as a percentage. It shows the annual ROI from the initiative relative to the annual direct expenses for the initiative. If the net revenue generated from the initiative is insufficient to fully support it, the breakeven percentage will be negative.</t>
    </r>
  </si>
  <si>
    <t>• "Number of students enrolling in/utilizing the initiative" should reflect the subpopulation of students with access to the initiative that are expected to receive services (e.g., the initiative may only have capacity to serve half the Pell-eligible population; or perhaps only 80% of first-year students are expected to utilize advising services).</t>
  </si>
  <si>
    <r>
      <rPr>
        <sz val="11"/>
        <color theme="1"/>
        <rFont val="Calibri"/>
        <family val="2"/>
      </rPr>
      <t>•</t>
    </r>
    <r>
      <rPr>
        <sz val="11"/>
        <color theme="1"/>
        <rFont val="Calibri"/>
        <family val="2"/>
        <scheme val="minor"/>
      </rPr>
      <t xml:space="preserve"> Tab-specific data reporting instructions are available on the "Data Entry Instructions" tab.</t>
    </r>
  </si>
  <si>
    <r>
      <rPr>
        <b/>
        <sz val="11"/>
        <color theme="1"/>
        <rFont val="Calibri"/>
        <family val="2"/>
        <scheme val="minor"/>
      </rPr>
      <t>1. Identify a student success initiative</t>
    </r>
    <r>
      <rPr>
        <sz val="11"/>
        <color theme="1"/>
        <rFont val="Calibri"/>
        <family val="2"/>
        <scheme val="minor"/>
      </rPr>
      <t xml:space="preserve"> the college is interested in implementing, expanding, or re-envisioning. The selective initiative should impact student retention and/or average student credit hour load. [Examples include: advising redesign; technology-assisted advising (iPASS); intensive student support programs (ASAP); tutoring programs; on-boarding redesign, etc.] </t>
    </r>
  </si>
  <si>
    <t>• Computer software/equipment that are integral to the initiative should be reported (e.g., student planning or alert software for an advising initiative). Expenses should reflect the annual cost of the technology; if the technology is widely used across the colleges, a portion of the cost can be allocated to the initiative (using either a percentage of the annual cost, or by multiplying a per student cost by the number of students participating in the initiative). Investments in college-wide enterprise resource systems (e.g., Banner; PeopleSoft) may be excluded.</t>
  </si>
  <si>
    <r>
      <t xml:space="preserve">The </t>
    </r>
    <r>
      <rPr>
        <b/>
        <i/>
        <sz val="12"/>
        <color theme="0"/>
        <rFont val="Calibri"/>
        <family val="2"/>
        <scheme val="minor"/>
      </rPr>
      <t>EDUCAUSE Student Success Initiative Financial Model</t>
    </r>
    <r>
      <rPr>
        <i/>
        <sz val="12"/>
        <color theme="0"/>
        <rFont val="Calibri"/>
        <family val="2"/>
        <scheme val="minor"/>
      </rPr>
      <t xml:space="preserve"> is designed to help institutional decision makers examine the financial implications of investing in a new (or re-envisioned) student success initiative on their campus. The model allows colleges to evaluate: 1) the expenditures and funding necessary to support the initiative, 2) the projected return on investment (e.g., new net revenue) generated from initiative-related improvements in student outcomes (retention and credit hours), and 3) the impact of these changes in student outcomes on measures of academic efficiency. 
</t>
    </r>
  </si>
  <si>
    <r>
      <rPr>
        <b/>
        <sz val="11"/>
        <color theme="1"/>
        <rFont val="Calibri"/>
        <family val="2"/>
        <scheme val="minor"/>
      </rPr>
      <t>4. Enter projected changes in student success and institutional efficiency in the BLACK tab:</t>
    </r>
    <r>
      <rPr>
        <sz val="11"/>
        <color theme="1"/>
        <rFont val="Calibri"/>
        <family val="2"/>
        <scheme val="minor"/>
      </rPr>
      <t xml:space="preserve"> The institutional ROI can be projected using interactive estimates of changes in student performance and institutional efficiency.</t>
    </r>
  </si>
  <si>
    <r>
      <rPr>
        <b/>
        <sz val="11"/>
        <color theme="1"/>
        <rFont val="Calibri"/>
        <family val="2"/>
        <scheme val="minor"/>
      </rPr>
      <t>5. Review program metrics and ROI estimates on the RED DASHBOARD tabs:</t>
    </r>
    <r>
      <rPr>
        <sz val="11"/>
        <color theme="1"/>
        <rFont val="Calibri"/>
        <family val="2"/>
        <scheme val="minor"/>
      </rPr>
      <t xml:space="preserve"> The initiative's financial impact is shown in graphic and tabular formats (dark red tabs); the dashboard can be used to simulate different ROI scenarios by changing the estimated impact on student performance (entered on the "Success Metric Estimates" tab).</t>
    </r>
  </si>
  <si>
    <r>
      <t>Projected Annual ROI from Initiative (</t>
    </r>
    <r>
      <rPr>
        <b/>
        <sz val="10"/>
        <color theme="0"/>
        <rFont val="Calibri"/>
        <family val="2"/>
        <scheme val="minor"/>
      </rPr>
      <t>Breakeven) [Net Revenue from Initiative-Direct Expense]</t>
    </r>
  </si>
  <si>
    <r>
      <t>Net Impact</t>
    </r>
    <r>
      <rPr>
        <b/>
        <sz val="10"/>
        <color theme="0"/>
        <rFont val="Calibri"/>
        <family val="2"/>
        <scheme val="minor"/>
      </rPr>
      <t xml:space="preserve"> [Total Funding plus Net Revenue from Initiative, minus Direct Expense]</t>
    </r>
  </si>
  <si>
    <t xml:space="preserve">Add institutional data in the red cells. </t>
  </si>
  <si>
    <t>Add total enrollment and initiative-specific enrollment in the red cells.</t>
  </si>
  <si>
    <t xml:space="preserve">Add sources of funding for the initiative, as applicable, in the red cells. </t>
  </si>
  <si>
    <t xml:space="preserve">Add personnel information, as applicable, in the red cells. </t>
  </si>
  <si>
    <t xml:space="preserve">Add operating expenses, as applicable, in red cells. </t>
  </si>
  <si>
    <r>
      <rPr>
        <sz val="11"/>
        <color theme="1"/>
        <rFont val="Calibri"/>
        <family val="2"/>
      </rPr>
      <t>•</t>
    </r>
    <r>
      <rPr>
        <sz val="11"/>
        <color theme="1"/>
        <rFont val="Calibri"/>
        <family val="2"/>
        <scheme val="minor"/>
      </rPr>
      <t xml:space="preserve"> Data should ONLY be entered into RED (or white) cells on the data sheets.</t>
    </r>
  </si>
  <si>
    <t>• WHITE data entry cells are populated with either recommended values (based on industry standards) and LIGHT RED cells contain recommended formulas;  any pre-populated data in these cells may be modified/overwritten with data specific to your college or initiative, as appropriate.</t>
  </si>
  <si>
    <t xml:space="preserve">• Do not enter data directly into grey cells; these cells contain formulas that will automatically calculate the appropriate metrics. </t>
  </si>
  <si>
    <t xml:space="preserve"> May be calculated as: adjunct pay rate per credit hour * 3</t>
  </si>
  <si>
    <r>
      <t>Benefit Eligible?</t>
    </r>
    <r>
      <rPr>
        <b/>
        <sz val="11"/>
        <color theme="5" tint="-0.249977111117893"/>
        <rFont val="Calibri"/>
        <family val="2"/>
        <scheme val="minor"/>
      </rPr>
      <t xml:space="preserve"> 
</t>
    </r>
    <r>
      <rPr>
        <b/>
        <i/>
        <sz val="11"/>
        <color rgb="FF941100"/>
        <rFont val="Calibri"/>
        <family val="2"/>
        <scheme val="minor"/>
      </rPr>
      <t>(Select from Drop Down)</t>
    </r>
  </si>
  <si>
    <r>
      <t>Annual</t>
    </r>
    <r>
      <rPr>
        <b/>
        <i/>
        <sz val="11"/>
        <color theme="0"/>
        <rFont val="Calibri"/>
        <family val="2"/>
        <scheme val="minor"/>
      </rPr>
      <t xml:space="preserve"> Percent</t>
    </r>
    <r>
      <rPr>
        <b/>
        <sz val="11"/>
        <color theme="0"/>
        <rFont val="Calibri"/>
        <family val="2"/>
        <scheme val="minor"/>
      </rPr>
      <t xml:space="preserve"> Increase</t>
    </r>
  </si>
  <si>
    <r>
      <t>Annual</t>
    </r>
    <r>
      <rPr>
        <b/>
        <i/>
        <sz val="11"/>
        <color theme="0"/>
        <rFont val="Calibri"/>
        <family val="2"/>
        <scheme val="minor"/>
      </rPr>
      <t xml:space="preserve"> Percentage Point</t>
    </r>
    <r>
      <rPr>
        <b/>
        <sz val="11"/>
        <color theme="0"/>
        <rFont val="Calibri"/>
        <family val="2"/>
        <scheme val="minor"/>
      </rPr>
      <t xml:space="preserve"> Increase</t>
    </r>
  </si>
  <si>
    <t>To estimate ROI, enter in the red cells in the data table below the annual increase in retention and/or course taking expected to result from the initiative.</t>
  </si>
  <si>
    <t xml:space="preserve">• Figure 7 - Annual Retention Rate: Enter the projected student retention rate (fall-to-fall) into the red boxes for Year 2 and Year 3. Projected rates can be drawn from the college's performance goals, aspirational peer institutions/groups, or documented changes at other colleges that adopted similar initiatives. Alternate scenarios can be modeled to determine a range of possible financial outcomes.
</t>
  </si>
  <si>
    <t xml:space="preserve">• Figure 8 - Average Student Credit Hour Load: Enter the projected student credit hour load into the red boxes for Years 1-3.  Alternate scenarios can be modeled to determine a range of possible financial outcomes. If the initiative is not expected to impact SCH load, it may remain blank.
</t>
  </si>
  <si>
    <r>
      <t>Expected Year of Hire</t>
    </r>
    <r>
      <rPr>
        <b/>
        <sz val="11"/>
        <color theme="5" tint="-0.249977111117893"/>
        <rFont val="Calibri"/>
        <family val="2"/>
        <scheme val="minor"/>
      </rPr>
      <t xml:space="preserve"> 
</t>
    </r>
    <r>
      <rPr>
        <b/>
        <sz val="11"/>
        <color rgb="FF941100"/>
        <rFont val="Calibri"/>
        <family val="2"/>
        <scheme val="minor"/>
      </rPr>
      <t>(Select from Drop Down)</t>
    </r>
  </si>
  <si>
    <t>Average revenue per SCH (tuition &amp; fees; S&amp;L appropriations)</t>
  </si>
  <si>
    <t>Developed by rpk GROUP, 2018 (v. 2.3).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</si>
</sst>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0.0"/>
    <numFmt numFmtId="169" formatCode="_(* #,##0_);_(* \(#,##0\);_(* &quot;-&quot;??_);_(@_)"/>
    <numFmt numFmtId="170" formatCode="#,##0.0"/>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b/>
      <sz val="14"/>
      <name val="Calibri"/>
      <family val="2"/>
      <scheme val="minor"/>
    </font>
    <font>
      <sz val="12"/>
      <name val="Calibri"/>
      <family val="2"/>
      <scheme val="minor"/>
    </font>
    <font>
      <b/>
      <sz val="10"/>
      <name val="Calibri"/>
      <family val="2"/>
      <scheme val="minor"/>
    </font>
    <font>
      <b/>
      <sz val="11"/>
      <name val="Calibri"/>
      <family val="2"/>
      <scheme val="minor"/>
    </font>
    <font>
      <b/>
      <sz val="12"/>
      <name val="Calibri"/>
      <family val="2"/>
      <scheme val="minor"/>
    </font>
    <font>
      <i/>
      <sz val="11"/>
      <name val="Calibri"/>
      <family val="2"/>
      <scheme val="minor"/>
    </font>
    <font>
      <sz val="11"/>
      <name val="Calibri"/>
      <family val="2"/>
      <scheme val="minor"/>
    </font>
    <font>
      <b/>
      <sz val="12"/>
      <color theme="1"/>
      <name val="Calibri"/>
      <family val="2"/>
      <scheme val="minor"/>
    </font>
    <font>
      <i/>
      <sz val="11"/>
      <color theme="2" tint="-0.499984740745262"/>
      <name val="Calibri"/>
      <family val="2"/>
      <scheme val="minor"/>
    </font>
    <font>
      <i/>
      <sz val="11"/>
      <color theme="1"/>
      <name val="Calibri"/>
      <family val="2"/>
      <scheme val="minor"/>
    </font>
    <font>
      <b/>
      <i/>
      <sz val="11"/>
      <color theme="1"/>
      <name val="Calibri"/>
      <family val="2"/>
      <scheme val="minor"/>
    </font>
    <font>
      <b/>
      <sz val="11"/>
      <color theme="5" tint="-0.249977111117893"/>
      <name val="Calibri"/>
      <family val="2"/>
      <scheme val="minor"/>
    </font>
    <font>
      <sz val="9"/>
      <color indexed="81"/>
      <name val="Tahoma"/>
      <family val="2"/>
    </font>
    <font>
      <b/>
      <sz val="9"/>
      <color indexed="81"/>
      <name val="Tahoma"/>
      <family val="2"/>
    </font>
    <font>
      <b/>
      <sz val="11"/>
      <color rgb="FFFF0000"/>
      <name val="Calibri"/>
      <family val="2"/>
      <scheme val="minor"/>
    </font>
    <font>
      <i/>
      <sz val="10"/>
      <color theme="1"/>
      <name val="Calibri"/>
      <family val="2"/>
      <scheme val="minor"/>
    </font>
    <font>
      <b/>
      <sz val="14"/>
      <color theme="1"/>
      <name val="Calibri"/>
      <family val="2"/>
      <scheme val="minor"/>
    </font>
    <font>
      <i/>
      <sz val="12"/>
      <color theme="1"/>
      <name val="Calibri"/>
      <family val="2"/>
      <scheme val="minor"/>
    </font>
    <font>
      <sz val="11"/>
      <color theme="0" tint="-0.249977111117893"/>
      <name val="Calibri"/>
      <family val="2"/>
      <scheme val="minor"/>
    </font>
    <font>
      <b/>
      <i/>
      <sz val="10.5"/>
      <color theme="0"/>
      <name val="Calibri"/>
      <family val="2"/>
      <scheme val="minor"/>
    </font>
    <font>
      <b/>
      <i/>
      <sz val="10.5"/>
      <name val="Calibri"/>
      <family val="2"/>
      <scheme val="minor"/>
    </font>
    <font>
      <b/>
      <sz val="13"/>
      <color theme="1"/>
      <name val="Calibri"/>
      <family val="2"/>
      <scheme val="minor"/>
    </font>
    <font>
      <b/>
      <i/>
      <sz val="12"/>
      <color theme="1"/>
      <name val="Calibri"/>
      <family val="2"/>
      <scheme val="minor"/>
    </font>
    <font>
      <b/>
      <sz val="10"/>
      <color theme="1"/>
      <name val="Calibri"/>
      <family val="2"/>
      <scheme val="minor"/>
    </font>
    <font>
      <sz val="11"/>
      <color theme="1"/>
      <name val="Calibri"/>
      <family val="2"/>
    </font>
    <font>
      <i/>
      <sz val="10"/>
      <name val="Calibri"/>
      <family val="2"/>
      <scheme val="minor"/>
    </font>
    <font>
      <i/>
      <sz val="12"/>
      <color theme="0"/>
      <name val="Calibri"/>
      <family val="2"/>
      <scheme val="minor"/>
    </font>
    <font>
      <b/>
      <i/>
      <sz val="12"/>
      <color theme="0"/>
      <name val="Calibri"/>
      <family val="2"/>
      <scheme val="minor"/>
    </font>
    <font>
      <b/>
      <sz val="14"/>
      <color theme="0"/>
      <name val="Calibri"/>
      <family val="2"/>
      <scheme val="minor"/>
    </font>
    <font>
      <sz val="11"/>
      <color theme="0"/>
      <name val="Calibri"/>
      <family val="2"/>
      <scheme val="minor"/>
    </font>
    <font>
      <b/>
      <sz val="12"/>
      <color theme="0"/>
      <name val="Calibri"/>
      <family val="2"/>
      <scheme val="minor"/>
    </font>
    <font>
      <b/>
      <sz val="11"/>
      <color theme="0"/>
      <name val="Calibri"/>
      <family val="2"/>
      <scheme val="minor"/>
    </font>
    <font>
      <b/>
      <sz val="10"/>
      <color theme="0"/>
      <name val="Calibri"/>
      <family val="2"/>
      <scheme val="minor"/>
    </font>
    <font>
      <b/>
      <u/>
      <sz val="11"/>
      <color theme="0"/>
      <name val="Calibri"/>
      <family val="2"/>
      <scheme val="minor"/>
    </font>
    <font>
      <i/>
      <sz val="11"/>
      <color theme="0"/>
      <name val="Calibri"/>
      <family val="2"/>
      <scheme val="minor"/>
    </font>
    <font>
      <b/>
      <i/>
      <sz val="11"/>
      <color rgb="FF941100"/>
      <name val="Calibri"/>
      <family val="2"/>
      <scheme val="minor"/>
    </font>
    <font>
      <b/>
      <i/>
      <sz val="11"/>
      <color theme="0"/>
      <name val="Calibri"/>
      <family val="2"/>
      <scheme val="minor"/>
    </font>
    <font>
      <b/>
      <sz val="11"/>
      <color rgb="FF941100"/>
      <name val="Calibri"/>
      <family val="2"/>
      <scheme val="minor"/>
    </font>
  </fonts>
  <fills count="27">
    <fill>
      <patternFill patternType="none"/>
    </fill>
    <fill>
      <patternFill patternType="gray125"/>
    </fill>
    <fill>
      <patternFill patternType="solid">
        <fgColor theme="0" tint="-4.9989318521683403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9"/>
        <bgColor indexed="64"/>
      </patternFill>
    </fill>
    <fill>
      <patternFill patternType="solid">
        <fgColor theme="9" tint="0.39997558519241921"/>
        <bgColor indexed="64"/>
      </patternFill>
    </fill>
    <fill>
      <patternFill patternType="solid">
        <fgColor theme="7"/>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940210"/>
        <bgColor indexed="64"/>
      </patternFill>
    </fill>
    <fill>
      <patternFill patternType="solid">
        <fgColor theme="1"/>
        <bgColor indexed="64"/>
      </patternFill>
    </fill>
    <fill>
      <patternFill patternType="solid">
        <fgColor rgb="FF941100"/>
        <bgColor indexed="64"/>
      </patternFill>
    </fill>
    <fill>
      <patternFill patternType="solid">
        <fgColor rgb="FF0070C0"/>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rgb="FFC017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75">
    <xf numFmtId="0" fontId="0" fillId="0" borderId="0" xfId="0"/>
    <xf numFmtId="0" fontId="3" fillId="0" borderId="0" xfId="0" applyFont="1"/>
    <xf numFmtId="0" fontId="0" fillId="7" borderId="0" xfId="0" applyFill="1"/>
    <xf numFmtId="0" fontId="0" fillId="7" borderId="0" xfId="0" applyFont="1" applyFill="1"/>
    <xf numFmtId="0" fontId="6" fillId="7" borderId="0" xfId="0" applyFont="1" applyFill="1"/>
    <xf numFmtId="0" fontId="8" fillId="7" borderId="0" xfId="0" applyFont="1" applyFill="1"/>
    <xf numFmtId="0" fontId="9" fillId="7" borderId="0" xfId="0" applyFont="1" applyFill="1"/>
    <xf numFmtId="0" fontId="10" fillId="7" borderId="0" xfId="0" applyFont="1" applyFill="1"/>
    <xf numFmtId="0" fontId="0" fillId="2" borderId="0" xfId="0" applyFont="1" applyFill="1"/>
    <xf numFmtId="0" fontId="0" fillId="2" borderId="0" xfId="0" applyFill="1"/>
    <xf numFmtId="0" fontId="3" fillId="10" borderId="0" xfId="0" applyFont="1" applyFill="1"/>
    <xf numFmtId="0" fontId="3" fillId="2" borderId="0" xfId="0" applyFont="1" applyFill="1"/>
    <xf numFmtId="0" fontId="0" fillId="7" borderId="0" xfId="0" applyFont="1" applyFill="1" applyAlignment="1">
      <alignment vertical="center" wrapText="1"/>
    </xf>
    <xf numFmtId="0" fontId="0" fillId="8" borderId="0" xfId="0" applyFont="1" applyFill="1"/>
    <xf numFmtId="0" fontId="9" fillId="4" borderId="0" xfId="0" applyFont="1" applyFill="1"/>
    <xf numFmtId="0" fontId="9" fillId="7" borderId="0" xfId="0" applyFont="1" applyFill="1" applyAlignment="1">
      <alignment horizontal="center"/>
    </xf>
    <xf numFmtId="0" fontId="0" fillId="6" borderId="0" xfId="0" applyFont="1" applyFill="1"/>
    <xf numFmtId="0" fontId="0" fillId="10" borderId="0" xfId="0" applyFont="1" applyFill="1"/>
    <xf numFmtId="0" fontId="9" fillId="10" borderId="0" xfId="0" applyFont="1" applyFill="1" applyAlignment="1">
      <alignment horizontal="center"/>
    </xf>
    <xf numFmtId="0" fontId="9" fillId="10" borderId="0" xfId="0" applyFont="1" applyFill="1"/>
    <xf numFmtId="0" fontId="9" fillId="6" borderId="0" xfId="0" applyFont="1" applyFill="1" applyAlignment="1">
      <alignment horizontal="center"/>
    </xf>
    <xf numFmtId="0" fontId="3" fillId="6" borderId="0" xfId="0" applyFont="1" applyFill="1" applyAlignment="1">
      <alignment horizontal="center"/>
    </xf>
    <xf numFmtId="0" fontId="9" fillId="6" borderId="0" xfId="0" applyFont="1" applyFill="1"/>
    <xf numFmtId="164" fontId="0" fillId="6" borderId="0" xfId="2" applyNumberFormat="1" applyFont="1" applyFill="1"/>
    <xf numFmtId="0" fontId="0" fillId="6" borderId="0" xfId="0" applyFont="1" applyFill="1" applyAlignment="1">
      <alignment horizontal="center"/>
    </xf>
    <xf numFmtId="0" fontId="12" fillId="6" borderId="0" xfId="0" applyFont="1" applyFill="1"/>
    <xf numFmtId="0" fontId="12" fillId="6" borderId="0" xfId="0" applyFont="1" applyFill="1" applyAlignment="1" applyProtection="1">
      <alignment horizontal="left" indent="2"/>
      <protection locked="0"/>
    </xf>
    <xf numFmtId="165" fontId="0" fillId="6" borderId="0" xfId="2" applyNumberFormat="1" applyFont="1" applyFill="1" applyProtection="1">
      <protection locked="0"/>
    </xf>
    <xf numFmtId="165" fontId="0" fillId="6" borderId="0" xfId="2" applyNumberFormat="1" applyFont="1" applyFill="1"/>
    <xf numFmtId="3" fontId="0" fillId="6" borderId="0" xfId="2" applyNumberFormat="1" applyFont="1" applyFill="1" applyProtection="1">
      <protection locked="0"/>
    </xf>
    <xf numFmtId="3" fontId="0" fillId="6" borderId="0" xfId="2" applyNumberFormat="1" applyFont="1" applyFill="1"/>
    <xf numFmtId="0" fontId="12" fillId="7" borderId="0" xfId="0" applyFont="1" applyFill="1"/>
    <xf numFmtId="165" fontId="12" fillId="10" borderId="1" xfId="2" applyNumberFormat="1" applyFont="1" applyFill="1" applyBorder="1" applyAlignment="1" applyProtection="1">
      <alignment horizontal="right"/>
    </xf>
    <xf numFmtId="0" fontId="9" fillId="6" borderId="0" xfId="0" applyFont="1" applyFill="1" applyAlignment="1">
      <alignment horizontal="left"/>
    </xf>
    <xf numFmtId="0" fontId="9" fillId="6" borderId="0" xfId="0" applyFont="1" applyFill="1" applyAlignment="1">
      <alignment horizontal="center" wrapText="1"/>
    </xf>
    <xf numFmtId="164" fontId="9" fillId="6" borderId="0" xfId="2" applyNumberFormat="1" applyFont="1" applyFill="1" applyAlignment="1">
      <alignment horizontal="center" wrapText="1"/>
    </xf>
    <xf numFmtId="0" fontId="13" fillId="11" borderId="0" xfId="0" applyFont="1" applyFill="1"/>
    <xf numFmtId="165" fontId="14" fillId="10" borderId="1" xfId="2" applyNumberFormat="1" applyFont="1" applyFill="1" applyBorder="1" applyAlignment="1" applyProtection="1">
      <alignment horizontal="right"/>
    </xf>
    <xf numFmtId="0" fontId="12" fillId="8" borderId="0" xfId="0" applyFont="1" applyFill="1"/>
    <xf numFmtId="0" fontId="12" fillId="10" borderId="0" xfId="0" applyFont="1" applyFill="1"/>
    <xf numFmtId="166" fontId="0" fillId="8" borderId="0" xfId="3" applyNumberFormat="1" applyFont="1" applyFill="1"/>
    <xf numFmtId="10" fontId="0" fillId="8" borderId="0" xfId="3" applyNumberFormat="1" applyFont="1" applyFill="1"/>
    <xf numFmtId="0" fontId="0" fillId="4" borderId="0" xfId="0" applyFont="1" applyFill="1"/>
    <xf numFmtId="0" fontId="13" fillId="6" borderId="0" xfId="0" applyFont="1" applyFill="1"/>
    <xf numFmtId="0" fontId="0" fillId="7" borderId="0" xfId="0" applyFont="1" applyFill="1" applyBorder="1"/>
    <xf numFmtId="0" fontId="0" fillId="2" borderId="0" xfId="0" applyFill="1" applyAlignment="1">
      <alignment horizontal="left" vertical="center"/>
    </xf>
    <xf numFmtId="0" fontId="9" fillId="2" borderId="0" xfId="0" applyFont="1" applyFill="1"/>
    <xf numFmtId="0" fontId="12" fillId="2" borderId="0" xfId="0" applyFont="1" applyFill="1" applyAlignment="1">
      <alignment horizontal="left" indent="2"/>
    </xf>
    <xf numFmtId="165" fontId="12" fillId="2" borderId="0" xfId="0" applyNumberFormat="1" applyFont="1" applyFill="1" applyAlignment="1">
      <alignment horizontal="left" indent="2"/>
    </xf>
    <xf numFmtId="0" fontId="12" fillId="10" borderId="0" xfId="0" applyFont="1" applyFill="1" applyAlignment="1">
      <alignment horizontal="left" indent="2"/>
    </xf>
    <xf numFmtId="165" fontId="12" fillId="10" borderId="0" xfId="0" applyNumberFormat="1" applyFont="1" applyFill="1"/>
    <xf numFmtId="165" fontId="9" fillId="10" borderId="0" xfId="0" applyNumberFormat="1" applyFont="1" applyFill="1"/>
    <xf numFmtId="165" fontId="12" fillId="2" borderId="0" xfId="0" applyNumberFormat="1" applyFont="1" applyFill="1"/>
    <xf numFmtId="165" fontId="9" fillId="2" borderId="0" xfId="0" applyNumberFormat="1" applyFont="1" applyFill="1"/>
    <xf numFmtId="0" fontId="12" fillId="2" borderId="0" xfId="0" applyFont="1" applyFill="1" applyAlignment="1">
      <alignment horizontal="left" indent="4"/>
    </xf>
    <xf numFmtId="0" fontId="12" fillId="2" borderId="0" xfId="0" applyFont="1" applyFill="1"/>
    <xf numFmtId="0" fontId="0" fillId="9" borderId="1" xfId="0" applyFill="1" applyBorder="1" applyAlignment="1">
      <alignment vertical="top" wrapText="1"/>
    </xf>
    <xf numFmtId="0" fontId="0" fillId="2" borderId="0" xfId="0" applyFill="1" applyAlignment="1">
      <alignment vertical="center"/>
    </xf>
    <xf numFmtId="0" fontId="0" fillId="2" borderId="0" xfId="0" applyFill="1" applyAlignment="1">
      <alignment horizontal="left" vertical="center" indent="2"/>
    </xf>
    <xf numFmtId="0" fontId="13" fillId="7" borderId="0" xfId="0" applyFont="1" applyFill="1"/>
    <xf numFmtId="0" fontId="0" fillId="0" borderId="0" xfId="0" applyFont="1"/>
    <xf numFmtId="0" fontId="0" fillId="0" borderId="0" xfId="0" applyAlignment="1">
      <alignment horizontal="left" indent="1"/>
    </xf>
    <xf numFmtId="0" fontId="3" fillId="0" borderId="0" xfId="0" applyFont="1" applyAlignment="1">
      <alignment horizontal="left" indent="1"/>
    </xf>
    <xf numFmtId="0" fontId="3" fillId="0" borderId="0" xfId="0" applyFont="1" applyAlignment="1">
      <alignment horizontal="left"/>
    </xf>
    <xf numFmtId="0" fontId="0" fillId="0" borderId="0" xfId="0" applyAlignment="1">
      <alignment horizontal="left"/>
    </xf>
    <xf numFmtId="165" fontId="0" fillId="7" borderId="0" xfId="0" applyNumberFormat="1" applyFont="1" applyFill="1"/>
    <xf numFmtId="165" fontId="0" fillId="10" borderId="0" xfId="2" applyNumberFormat="1" applyFont="1" applyFill="1"/>
    <xf numFmtId="165" fontId="0" fillId="10" borderId="0" xfId="0" applyNumberFormat="1" applyFont="1" applyFill="1"/>
    <xf numFmtId="165" fontId="3" fillId="10" borderId="0" xfId="0" applyNumberFormat="1" applyFont="1" applyFill="1"/>
    <xf numFmtId="165" fontId="0" fillId="6" borderId="0" xfId="0" applyNumberFormat="1" applyFont="1" applyFill="1"/>
    <xf numFmtId="0" fontId="0" fillId="2" borderId="0" xfId="0" applyFont="1" applyFill="1" applyAlignment="1">
      <alignment horizontal="left" indent="2"/>
    </xf>
    <xf numFmtId="0" fontId="3" fillId="2" borderId="0" xfId="0" applyFont="1" applyFill="1" applyAlignment="1">
      <alignment horizontal="left"/>
    </xf>
    <xf numFmtId="0" fontId="0" fillId="6" borderId="0" xfId="0" applyFont="1" applyFill="1" applyBorder="1"/>
    <xf numFmtId="165" fontId="0" fillId="3" borderId="1" xfId="3" applyNumberFormat="1" applyFont="1" applyFill="1" applyBorder="1" applyAlignment="1">
      <alignment horizontal="center" vertical="center"/>
    </xf>
    <xf numFmtId="165" fontId="0" fillId="10" borderId="1" xfId="0" applyNumberFormat="1" applyFont="1" applyFill="1" applyBorder="1"/>
    <xf numFmtId="0" fontId="13" fillId="12" borderId="0" xfId="0" applyFont="1" applyFill="1"/>
    <xf numFmtId="0" fontId="11" fillId="7" borderId="0" xfId="0" applyFont="1" applyFill="1" applyAlignment="1">
      <alignment vertical="center" wrapText="1"/>
    </xf>
    <xf numFmtId="0" fontId="2" fillId="0" borderId="0" xfId="0" applyFont="1"/>
    <xf numFmtId="0" fontId="13" fillId="0" borderId="0" xfId="0" applyFont="1"/>
    <xf numFmtId="164" fontId="0" fillId="7" borderId="0" xfId="0" applyNumberFormat="1" applyFont="1" applyFill="1"/>
    <xf numFmtId="0" fontId="0" fillId="6" borderId="0" xfId="0" applyFill="1" applyAlignment="1">
      <alignment horizontal="left" indent="2"/>
    </xf>
    <xf numFmtId="3" fontId="0" fillId="7" borderId="0" xfId="0" applyNumberFormat="1" applyFill="1"/>
    <xf numFmtId="165" fontId="9" fillId="10" borderId="0" xfId="2" applyNumberFormat="1" applyFont="1" applyFill="1"/>
    <xf numFmtId="165" fontId="3" fillId="10" borderId="0" xfId="2" applyNumberFormat="1" applyFont="1" applyFill="1"/>
    <xf numFmtId="165" fontId="3" fillId="10" borderId="0" xfId="0" applyNumberFormat="1" applyFont="1" applyFill="1" applyAlignment="1">
      <alignment horizontal="right"/>
    </xf>
    <xf numFmtId="0" fontId="0" fillId="10" borderId="0" xfId="0" applyFill="1" applyAlignment="1">
      <alignment horizontal="left" indent="2"/>
    </xf>
    <xf numFmtId="165" fontId="0" fillId="10" borderId="0" xfId="0" applyNumberFormat="1" applyFont="1" applyFill="1" applyAlignment="1">
      <alignment horizontal="right"/>
    </xf>
    <xf numFmtId="165" fontId="12" fillId="10" borderId="0" xfId="0" applyNumberFormat="1" applyFont="1" applyFill="1" applyAlignment="1">
      <alignment horizontal="right"/>
    </xf>
    <xf numFmtId="9" fontId="0" fillId="10" borderId="0" xfId="3" applyFont="1" applyFill="1"/>
    <xf numFmtId="165" fontId="0" fillId="6" borderId="0" xfId="0" applyNumberFormat="1" applyFont="1" applyFill="1" applyAlignment="1">
      <alignment horizontal="right"/>
    </xf>
    <xf numFmtId="3" fontId="0" fillId="0" borderId="0" xfId="0" applyNumberFormat="1"/>
    <xf numFmtId="164" fontId="0" fillId="0" borderId="0" xfId="2" applyNumberFormat="1" applyFont="1"/>
    <xf numFmtId="0" fontId="0" fillId="11" borderId="0" xfId="0" applyFill="1"/>
    <xf numFmtId="165" fontId="0" fillId="0" borderId="0" xfId="0" applyNumberFormat="1"/>
    <xf numFmtId="168" fontId="0" fillId="6" borderId="1" xfId="3" applyNumberFormat="1" applyFont="1" applyFill="1" applyBorder="1" applyAlignment="1">
      <alignment horizontal="center" vertical="center"/>
    </xf>
    <xf numFmtId="2" fontId="0" fillId="0" borderId="0" xfId="0" applyNumberFormat="1"/>
    <xf numFmtId="168" fontId="0" fillId="0" borderId="0" xfId="0" applyNumberFormat="1"/>
    <xf numFmtId="166" fontId="0" fillId="0" borderId="0" xfId="3" applyNumberFormat="1" applyFont="1"/>
    <xf numFmtId="166" fontId="0" fillId="6" borderId="1" xfId="3" applyNumberFormat="1" applyFont="1" applyFill="1" applyBorder="1" applyAlignment="1">
      <alignment horizontal="center" vertical="center"/>
    </xf>
    <xf numFmtId="164" fontId="0" fillId="0" borderId="0" xfId="0" applyNumberFormat="1"/>
    <xf numFmtId="0" fontId="0" fillId="0" borderId="0" xfId="0" applyNumberFormat="1"/>
    <xf numFmtId="2" fontId="0" fillId="0" borderId="0" xfId="0" applyNumberFormat="1" applyFill="1"/>
    <xf numFmtId="165" fontId="0" fillId="7" borderId="0" xfId="0" applyNumberFormat="1" applyFill="1"/>
    <xf numFmtId="169" fontId="0" fillId="7" borderId="0" xfId="1" applyNumberFormat="1" applyFont="1" applyFill="1"/>
    <xf numFmtId="43" fontId="0" fillId="0" borderId="0" xfId="0" applyNumberFormat="1"/>
    <xf numFmtId="0" fontId="3" fillId="13" borderId="0" xfId="0" applyFont="1" applyFill="1" applyAlignment="1">
      <alignment wrapText="1"/>
    </xf>
    <xf numFmtId="0" fontId="3" fillId="0" borderId="0" xfId="0" applyFont="1" applyAlignment="1">
      <alignment wrapText="1"/>
    </xf>
    <xf numFmtId="0" fontId="0" fillId="0" borderId="0" xfId="0" applyAlignment="1">
      <alignment horizontal="left" wrapText="1"/>
    </xf>
    <xf numFmtId="166" fontId="3" fillId="0" borderId="0" xfId="3" applyNumberFormat="1" applyFont="1" applyFill="1"/>
    <xf numFmtId="169" fontId="1" fillId="0" borderId="0" xfId="1" applyNumberFormat="1" applyFont="1" applyFill="1"/>
    <xf numFmtId="0" fontId="3" fillId="0" borderId="0" xfId="0" applyFont="1" applyAlignment="1">
      <alignment horizontal="left" wrapText="1"/>
    </xf>
    <xf numFmtId="164" fontId="3" fillId="0" borderId="0" xfId="0" applyNumberFormat="1" applyFont="1"/>
    <xf numFmtId="164" fontId="0" fillId="0" borderId="0" xfId="0" applyNumberFormat="1" applyFont="1"/>
    <xf numFmtId="169" fontId="1" fillId="0" borderId="0" xfId="1" applyNumberFormat="1" applyFont="1"/>
    <xf numFmtId="0" fontId="0" fillId="0" borderId="0" xfId="0" applyFont="1" applyAlignment="1">
      <alignment horizontal="left" wrapText="1" indent="3"/>
    </xf>
    <xf numFmtId="0" fontId="0" fillId="0" borderId="0" xfId="0" applyAlignment="1">
      <alignment horizontal="left" wrapText="1" indent="3"/>
    </xf>
    <xf numFmtId="0" fontId="3" fillId="0" borderId="0" xfId="0" applyFont="1" applyAlignment="1">
      <alignment horizontal="left" wrapText="1" indent="3"/>
    </xf>
    <xf numFmtId="0" fontId="0" fillId="0" borderId="0" xfId="0" applyAlignment="1">
      <alignment horizontal="left" indent="3"/>
    </xf>
    <xf numFmtId="0" fontId="0" fillId="0" borderId="0" xfId="3" applyNumberFormat="1" applyFont="1" applyFill="1"/>
    <xf numFmtId="0" fontId="13" fillId="0" borderId="0" xfId="0" applyFont="1" applyAlignment="1">
      <alignment horizontal="left"/>
    </xf>
    <xf numFmtId="0" fontId="2" fillId="0" borderId="0" xfId="0" applyFont="1" applyAlignment="1">
      <alignment wrapText="1"/>
    </xf>
    <xf numFmtId="0" fontId="6" fillId="0" borderId="0" xfId="0" applyFont="1" applyFill="1"/>
    <xf numFmtId="0" fontId="0" fillId="0" borderId="0" xfId="0" applyFont="1" applyFill="1"/>
    <xf numFmtId="0" fontId="10" fillId="0" borderId="0" xfId="0" applyFont="1" applyFill="1"/>
    <xf numFmtId="0" fontId="0" fillId="12" borderId="0" xfId="0" applyFill="1"/>
    <xf numFmtId="3" fontId="0" fillId="6" borderId="1" xfId="1" applyNumberFormat="1" applyFont="1" applyFill="1" applyBorder="1" applyAlignment="1">
      <alignment horizontal="center" vertical="center"/>
    </xf>
    <xf numFmtId="0" fontId="0" fillId="6" borderId="0" xfId="0" applyNumberFormat="1" applyFont="1" applyFill="1"/>
    <xf numFmtId="9" fontId="0" fillId="6" borderId="0" xfId="3" applyFont="1" applyFill="1"/>
    <xf numFmtId="0" fontId="9" fillId="10" borderId="6" xfId="0" applyFont="1" applyFill="1" applyBorder="1"/>
    <xf numFmtId="0" fontId="3" fillId="10" borderId="6" xfId="0" applyFont="1" applyFill="1" applyBorder="1"/>
    <xf numFmtId="165" fontId="3" fillId="10" borderId="6" xfId="0" applyNumberFormat="1" applyFont="1" applyFill="1" applyBorder="1"/>
    <xf numFmtId="0" fontId="0" fillId="4" borderId="0" xfId="0" applyFill="1"/>
    <xf numFmtId="168" fontId="3" fillId="0" borderId="0" xfId="3" applyNumberFormat="1" applyFont="1" applyFill="1"/>
    <xf numFmtId="0" fontId="24" fillId="7" borderId="0" xfId="0" applyFont="1" applyFill="1"/>
    <xf numFmtId="165" fontId="24" fillId="7" borderId="0" xfId="0" applyNumberFormat="1" applyFont="1" applyFill="1"/>
    <xf numFmtId="0" fontId="0" fillId="10" borderId="0" xfId="0" applyFont="1" applyFill="1" applyAlignment="1">
      <alignment horizontal="left" indent="2"/>
    </xf>
    <xf numFmtId="164" fontId="0" fillId="10" borderId="0" xfId="2" applyNumberFormat="1" applyFont="1" applyFill="1"/>
    <xf numFmtId="164" fontId="0" fillId="10" borderId="0" xfId="0" applyNumberFormat="1" applyFont="1" applyFill="1"/>
    <xf numFmtId="0" fontId="21" fillId="10" borderId="0" xfId="0" applyFont="1" applyFill="1" applyAlignment="1">
      <alignment horizontal="left" indent="4"/>
    </xf>
    <xf numFmtId="166" fontId="21" fillId="10" borderId="0" xfId="3" applyNumberFormat="1" applyFont="1" applyFill="1"/>
    <xf numFmtId="2" fontId="21" fillId="10" borderId="0" xfId="0" applyNumberFormat="1" applyFont="1" applyFill="1"/>
    <xf numFmtId="164" fontId="3" fillId="10" borderId="0" xfId="0" applyNumberFormat="1" applyFont="1" applyFill="1"/>
    <xf numFmtId="0" fontId="3" fillId="6" borderId="0" xfId="0" applyFont="1" applyFill="1"/>
    <xf numFmtId="165" fontId="3" fillId="6" borderId="0" xfId="0" applyNumberFormat="1" applyFont="1" applyFill="1"/>
    <xf numFmtId="0" fontId="3" fillId="7" borderId="0" xfId="0" applyFont="1" applyFill="1" applyBorder="1"/>
    <xf numFmtId="0" fontId="0" fillId="0" borderId="0" xfId="0" applyAlignment="1">
      <alignment wrapText="1"/>
    </xf>
    <xf numFmtId="0" fontId="12" fillId="0" borderId="0" xfId="0" applyFont="1" applyAlignment="1">
      <alignment horizontal="left" wrapText="1" indent="3"/>
    </xf>
    <xf numFmtId="0" fontId="3" fillId="15" borderId="0" xfId="0" applyFont="1" applyFill="1" applyAlignment="1">
      <alignment horizontal="left" wrapText="1"/>
    </xf>
    <xf numFmtId="0" fontId="21" fillId="5" borderId="0" xfId="0" applyFont="1" applyFill="1" applyAlignment="1">
      <alignment horizontal="center" wrapText="1"/>
    </xf>
    <xf numFmtId="0" fontId="21" fillId="5" borderId="0" xfId="3" applyNumberFormat="1" applyFont="1" applyFill="1" applyAlignment="1">
      <alignment horizontal="center" wrapText="1"/>
    </xf>
    <xf numFmtId="0" fontId="21" fillId="5" borderId="0" xfId="0" applyFont="1" applyFill="1"/>
    <xf numFmtId="166" fontId="3" fillId="13" borderId="0" xfId="3" applyNumberFormat="1" applyFont="1" applyFill="1"/>
    <xf numFmtId="2" fontId="0" fillId="13" borderId="0" xfId="0" applyNumberFormat="1" applyFill="1"/>
    <xf numFmtId="166" fontId="0" fillId="13" borderId="0" xfId="3" applyNumberFormat="1" applyFont="1" applyFill="1" applyAlignment="1">
      <alignment horizontal="center" vertical="center"/>
    </xf>
    <xf numFmtId="0" fontId="6" fillId="4" borderId="0" xfId="0" applyFont="1" applyFill="1"/>
    <xf numFmtId="0" fontId="21" fillId="15" borderId="0" xfId="0" applyFont="1" applyFill="1" applyAlignment="1">
      <alignment horizontal="center" wrapText="1"/>
    </xf>
    <xf numFmtId="0" fontId="21" fillId="15" borderId="0" xfId="3" applyNumberFormat="1" applyFont="1" applyFill="1" applyAlignment="1">
      <alignment horizontal="center" wrapText="1"/>
    </xf>
    <xf numFmtId="0" fontId="21" fillId="15" borderId="0" xfId="0" applyFont="1" applyFill="1"/>
    <xf numFmtId="0" fontId="21" fillId="15" borderId="0" xfId="3" applyNumberFormat="1" applyFont="1" applyFill="1"/>
    <xf numFmtId="0" fontId="12" fillId="0" borderId="0" xfId="0" applyFont="1" applyAlignment="1">
      <alignment horizontal="left" indent="1"/>
    </xf>
    <xf numFmtId="167" fontId="0" fillId="6" borderId="1" xfId="3" applyNumberFormat="1" applyFont="1" applyFill="1" applyBorder="1" applyAlignment="1">
      <alignment horizontal="center" vertical="center"/>
    </xf>
    <xf numFmtId="0" fontId="0" fillId="0" borderId="0" xfId="0" applyFont="1" applyAlignment="1">
      <alignment wrapText="1"/>
    </xf>
    <xf numFmtId="1" fontId="0" fillId="0" borderId="0" xfId="3" applyNumberFormat="1" applyFont="1"/>
    <xf numFmtId="3" fontId="3" fillId="0" borderId="0" xfId="1" applyNumberFormat="1" applyFont="1"/>
    <xf numFmtId="0" fontId="0" fillId="14" borderId="0" xfId="0" applyFill="1"/>
    <xf numFmtId="0" fontId="9" fillId="14" borderId="0" xfId="0" applyFont="1" applyFill="1" applyAlignment="1">
      <alignment horizontal="center"/>
    </xf>
    <xf numFmtId="0" fontId="9" fillId="14" borderId="0" xfId="0" applyFont="1" applyFill="1" applyAlignment="1">
      <alignment horizontal="left"/>
    </xf>
    <xf numFmtId="0" fontId="0" fillId="14" borderId="0" xfId="0" applyFont="1" applyFill="1" applyAlignment="1">
      <alignment horizontal="left"/>
    </xf>
    <xf numFmtId="164" fontId="0" fillId="14" borderId="0" xfId="0" applyNumberFormat="1" applyFill="1"/>
    <xf numFmtId="0" fontId="0" fillId="14" borderId="0" xfId="0" applyFont="1" applyFill="1" applyAlignment="1">
      <alignment horizontal="left" indent="2"/>
    </xf>
    <xf numFmtId="0" fontId="0" fillId="14" borderId="0" xfId="0" applyFill="1" applyAlignment="1">
      <alignment horizontal="left"/>
    </xf>
    <xf numFmtId="165" fontId="0" fillId="14" borderId="0" xfId="0" applyNumberFormat="1" applyFill="1"/>
    <xf numFmtId="9" fontId="0" fillId="14" borderId="0" xfId="0" applyNumberFormat="1" applyFill="1"/>
    <xf numFmtId="0" fontId="20" fillId="14" borderId="0" xfId="0" applyFont="1" applyFill="1"/>
    <xf numFmtId="166" fontId="0" fillId="14" borderId="0" xfId="3" applyNumberFormat="1" applyFont="1" applyFill="1" applyAlignment="1">
      <alignment horizontal="center" vertical="center"/>
    </xf>
    <xf numFmtId="0" fontId="13" fillId="14" borderId="0" xfId="0" applyFont="1" applyFill="1"/>
    <xf numFmtId="0" fontId="25" fillId="14" borderId="0" xfId="0" applyFont="1" applyFill="1" applyBorder="1" applyAlignment="1">
      <alignment horizontal="center" wrapText="1"/>
    </xf>
    <xf numFmtId="0" fontId="26" fillId="14" borderId="0" xfId="0" applyFont="1" applyFill="1" applyBorder="1" applyAlignment="1">
      <alignment horizontal="center" wrapText="1"/>
    </xf>
    <xf numFmtId="0" fontId="0" fillId="4" borderId="0" xfId="0" applyFill="1" applyAlignment="1">
      <alignment horizontal="left" indent="2"/>
    </xf>
    <xf numFmtId="0" fontId="12" fillId="4" borderId="0" xfId="0" applyFont="1" applyFill="1"/>
    <xf numFmtId="165" fontId="12" fillId="4" borderId="0" xfId="0" applyNumberFormat="1" applyFont="1" applyFill="1"/>
    <xf numFmtId="0" fontId="0" fillId="17" borderId="0" xfId="0" applyFont="1" applyFill="1"/>
    <xf numFmtId="9" fontId="0" fillId="17" borderId="0" xfId="3" applyFont="1" applyFill="1"/>
    <xf numFmtId="0" fontId="12" fillId="17" borderId="0" xfId="0" applyFont="1" applyFill="1"/>
    <xf numFmtId="165" fontId="0" fillId="17" borderId="0" xfId="0" applyNumberFormat="1" applyFont="1" applyFill="1"/>
    <xf numFmtId="165" fontId="0" fillId="4" borderId="0" xfId="0" applyNumberFormat="1" applyFont="1" applyFill="1"/>
    <xf numFmtId="0" fontId="9" fillId="4" borderId="0" xfId="0" applyFont="1" applyFill="1" applyAlignment="1">
      <alignment horizontal="center"/>
    </xf>
    <xf numFmtId="0" fontId="0" fillId="18" borderId="0" xfId="0" applyFill="1"/>
    <xf numFmtId="0" fontId="0" fillId="16" borderId="0" xfId="0" applyFill="1"/>
    <xf numFmtId="2" fontId="0" fillId="3" borderId="0" xfId="0" applyNumberFormat="1" applyFill="1"/>
    <xf numFmtId="0" fontId="10" fillId="14" borderId="0" xfId="0" applyFont="1" applyFill="1" applyAlignment="1">
      <alignment horizontal="right"/>
    </xf>
    <xf numFmtId="0" fontId="10" fillId="14" borderId="0" xfId="0" applyFont="1" applyFill="1" applyBorder="1" applyAlignment="1">
      <alignment horizontal="right"/>
    </xf>
    <xf numFmtId="0" fontId="5" fillId="14" borderId="0" xfId="0" applyFont="1" applyFill="1" applyBorder="1"/>
    <xf numFmtId="0" fontId="12" fillId="0" borderId="0" xfId="0" applyFont="1"/>
    <xf numFmtId="1" fontId="3" fillId="0" borderId="0" xfId="3" applyNumberFormat="1" applyFont="1" applyFill="1"/>
    <xf numFmtId="0" fontId="5" fillId="0" borderId="0" xfId="0" applyFont="1"/>
    <xf numFmtId="0" fontId="12" fillId="0" borderId="0" xfId="0" applyFont="1" applyAlignment="1">
      <alignment wrapText="1"/>
    </xf>
    <xf numFmtId="2" fontId="1" fillId="13" borderId="0" xfId="3" applyNumberFormat="1" applyFont="1" applyFill="1"/>
    <xf numFmtId="43" fontId="0" fillId="13" borderId="0" xfId="0" applyNumberFormat="1" applyFill="1"/>
    <xf numFmtId="169" fontId="0" fillId="13" borderId="0" xfId="1" applyNumberFormat="1" applyFont="1" applyFill="1"/>
    <xf numFmtId="165" fontId="0" fillId="6" borderId="1" xfId="1" applyNumberFormat="1" applyFont="1" applyFill="1" applyBorder="1" applyAlignment="1">
      <alignment horizontal="center" vertical="center"/>
    </xf>
    <xf numFmtId="165" fontId="14" fillId="10" borderId="13" xfId="2" applyNumberFormat="1" applyFont="1" applyFill="1" applyBorder="1" applyAlignment="1" applyProtection="1">
      <alignment horizontal="right"/>
    </xf>
    <xf numFmtId="165" fontId="12" fillId="10" borderId="13" xfId="2" applyNumberFormat="1" applyFont="1" applyFill="1" applyBorder="1" applyAlignment="1" applyProtection="1">
      <alignment horizontal="right"/>
    </xf>
    <xf numFmtId="0" fontId="15" fillId="7" borderId="0" xfId="0" applyFont="1" applyFill="1"/>
    <xf numFmtId="0" fontId="15" fillId="7" borderId="0" xfId="0" applyFont="1" applyFill="1" applyAlignment="1"/>
    <xf numFmtId="9" fontId="0" fillId="7" borderId="0" xfId="3" applyFont="1" applyFill="1"/>
    <xf numFmtId="0" fontId="15" fillId="7" borderId="0" xfId="0" applyFont="1" applyFill="1" applyBorder="1"/>
    <xf numFmtId="0" fontId="0" fillId="7" borderId="0" xfId="0" applyFont="1" applyFill="1" applyBorder="1" applyAlignment="1">
      <alignment horizontal="center"/>
    </xf>
    <xf numFmtId="0" fontId="12" fillId="7" borderId="0" xfId="0" applyFont="1" applyFill="1" applyBorder="1" applyAlignment="1">
      <alignment horizontal="center"/>
    </xf>
    <xf numFmtId="165" fontId="12" fillId="10" borderId="1" xfId="0" applyNumberFormat="1" applyFont="1" applyFill="1" applyBorder="1"/>
    <xf numFmtId="165" fontId="0" fillId="5" borderId="1" xfId="0" applyNumberFormat="1" applyFont="1" applyFill="1" applyBorder="1"/>
    <xf numFmtId="166" fontId="0" fillId="14" borderId="0" xfId="3" applyNumberFormat="1" applyFont="1" applyFill="1"/>
    <xf numFmtId="0" fontId="3" fillId="19" borderId="1" xfId="0" applyFont="1" applyFill="1" applyBorder="1" applyAlignment="1">
      <alignment horizontal="center"/>
    </xf>
    <xf numFmtId="166" fontId="0" fillId="8" borderId="1" xfId="3" applyNumberFormat="1" applyFont="1" applyFill="1" applyBorder="1" applyAlignment="1">
      <alignment horizontal="center"/>
    </xf>
    <xf numFmtId="166" fontId="0" fillId="8" borderId="1" xfId="0" applyNumberFormat="1" applyFill="1" applyBorder="1" applyAlignment="1">
      <alignment horizontal="center"/>
    </xf>
    <xf numFmtId="0" fontId="13" fillId="14" borderId="0" xfId="0" applyFont="1" applyFill="1" applyAlignment="1">
      <alignment horizontal="center"/>
    </xf>
    <xf numFmtId="0" fontId="3" fillId="14" borderId="0" xfId="0" applyFont="1" applyFill="1" applyBorder="1" applyAlignment="1">
      <alignment horizontal="center"/>
    </xf>
    <xf numFmtId="0" fontId="0" fillId="14" borderId="0" xfId="0" applyFill="1" applyBorder="1" applyAlignment="1">
      <alignment horizontal="center"/>
    </xf>
    <xf numFmtId="168" fontId="0" fillId="8" borderId="1" xfId="3" applyNumberFormat="1" applyFont="1" applyFill="1" applyBorder="1" applyAlignment="1">
      <alignment horizontal="center"/>
    </xf>
    <xf numFmtId="164" fontId="2" fillId="0" borderId="0" xfId="0" applyNumberFormat="1" applyFont="1"/>
    <xf numFmtId="44" fontId="0" fillId="0" borderId="0" xfId="2" applyNumberFormat="1" applyFont="1"/>
    <xf numFmtId="43" fontId="1" fillId="0" borderId="0" xfId="1" applyNumberFormat="1" applyFont="1" applyFill="1"/>
    <xf numFmtId="169" fontId="0" fillId="0" borderId="0" xfId="1" applyNumberFormat="1" applyFont="1" applyFill="1"/>
    <xf numFmtId="0" fontId="12" fillId="0" borderId="0" xfId="0" applyFont="1" applyAlignment="1">
      <alignment horizontal="left"/>
    </xf>
    <xf numFmtId="10" fontId="0" fillId="13" borderId="0" xfId="0" applyNumberFormat="1" applyFill="1"/>
    <xf numFmtId="0" fontId="0" fillId="2" borderId="0" xfId="0" applyFont="1" applyFill="1" applyAlignment="1">
      <alignment horizontal="left" vertical="center"/>
    </xf>
    <xf numFmtId="0" fontId="3" fillId="7" borderId="0" xfId="0" applyFont="1" applyFill="1"/>
    <xf numFmtId="1" fontId="21" fillId="10" borderId="0" xfId="0" applyNumberFormat="1" applyFont="1" applyFill="1"/>
    <xf numFmtId="166" fontId="0" fillId="10" borderId="1" xfId="3" applyNumberFormat="1" applyFont="1" applyFill="1" applyBorder="1" applyAlignment="1">
      <alignment horizontal="center" vertical="center"/>
    </xf>
    <xf numFmtId="0" fontId="4" fillId="6" borderId="0" xfId="0" applyFont="1" applyFill="1"/>
    <xf numFmtId="0" fontId="21" fillId="6" borderId="0" xfId="0" applyFont="1" applyFill="1"/>
    <xf numFmtId="170" fontId="3" fillId="0" borderId="0" xfId="1" applyNumberFormat="1" applyFont="1"/>
    <xf numFmtId="170" fontId="21" fillId="10" borderId="0" xfId="0" applyNumberFormat="1" applyFont="1" applyFill="1"/>
    <xf numFmtId="5" fontId="0" fillId="7" borderId="0" xfId="0" applyNumberFormat="1" applyFont="1" applyFill="1"/>
    <xf numFmtId="5" fontId="3" fillId="7" borderId="0" xfId="0" applyNumberFormat="1" applyFont="1" applyFill="1"/>
    <xf numFmtId="168" fontId="21" fillId="10" borderId="0" xfId="0" applyNumberFormat="1" applyFont="1" applyFill="1"/>
    <xf numFmtId="0" fontId="0" fillId="6" borderId="0" xfId="0" applyFont="1" applyFill="1" applyAlignment="1">
      <alignment wrapText="1"/>
    </xf>
    <xf numFmtId="0" fontId="0" fillId="7" borderId="0" xfId="0" applyFill="1" applyAlignment="1">
      <alignment wrapText="1"/>
    </xf>
    <xf numFmtId="0" fontId="0" fillId="2" borderId="0" xfId="0" applyFont="1" applyFill="1" applyAlignment="1">
      <alignment horizontal="left" vertical="center" indent="2"/>
    </xf>
    <xf numFmtId="0" fontId="0" fillId="19" borderId="0" xfId="0" applyFill="1" applyAlignment="1">
      <alignment vertical="top"/>
    </xf>
    <xf numFmtId="0" fontId="0" fillId="19" borderId="10" xfId="0" applyFill="1" applyBorder="1" applyAlignment="1">
      <alignment vertical="top" wrapText="1"/>
    </xf>
    <xf numFmtId="0" fontId="0" fillId="19" borderId="0" xfId="0" applyFill="1" applyBorder="1" applyAlignment="1">
      <alignment vertical="top" wrapText="1"/>
    </xf>
    <xf numFmtId="0" fontId="0" fillId="19" borderId="2" xfId="0" applyFill="1" applyBorder="1" applyAlignment="1">
      <alignment vertical="top" wrapText="1"/>
    </xf>
    <xf numFmtId="0" fontId="0" fillId="19" borderId="0" xfId="0" applyFill="1"/>
    <xf numFmtId="0" fontId="3" fillId="19" borderId="10" xfId="0" applyFont="1" applyFill="1" applyBorder="1" applyAlignment="1">
      <alignment vertical="top"/>
    </xf>
    <xf numFmtId="0" fontId="0" fillId="19" borderId="0" xfId="0" applyFill="1" applyBorder="1" applyAlignment="1">
      <alignment vertical="top"/>
    </xf>
    <xf numFmtId="0" fontId="0" fillId="19" borderId="2" xfId="0" applyFill="1" applyBorder="1" applyAlignment="1">
      <alignment vertical="top"/>
    </xf>
    <xf numFmtId="0" fontId="0" fillId="19" borderId="0" xfId="0" applyFill="1" applyAlignment="1">
      <alignment horizontal="left" vertical="top"/>
    </xf>
    <xf numFmtId="0" fontId="15" fillId="19" borderId="0" xfId="0" applyFont="1" applyFill="1" applyAlignment="1">
      <alignment horizontal="left" vertical="top"/>
    </xf>
    <xf numFmtId="0" fontId="0" fillId="19" borderId="0" xfId="0" applyFill="1" applyAlignment="1">
      <alignment wrapText="1"/>
    </xf>
    <xf numFmtId="0" fontId="0" fillId="19" borderId="0" xfId="0" applyFill="1" applyAlignment="1">
      <alignment vertical="center" wrapText="1"/>
    </xf>
    <xf numFmtId="0" fontId="0" fillId="19" borderId="0" xfId="0" applyFill="1" applyAlignment="1">
      <alignment vertical="center"/>
    </xf>
    <xf numFmtId="0" fontId="0" fillId="19" borderId="0" xfId="0" applyFill="1" applyAlignment="1">
      <alignment horizontal="left" wrapText="1" indent="6"/>
    </xf>
    <xf numFmtId="0" fontId="0" fillId="19" borderId="0" xfId="0" applyFill="1" applyAlignment="1">
      <alignment horizontal="left" vertical="center" wrapText="1" indent="1"/>
    </xf>
    <xf numFmtId="0" fontId="0" fillId="19" borderId="0" xfId="0" applyFill="1" applyAlignment="1">
      <alignment horizontal="left" vertical="center" wrapText="1" indent="4"/>
    </xf>
    <xf numFmtId="0" fontId="0" fillId="6" borderId="0" xfId="0" applyFont="1" applyFill="1" applyProtection="1">
      <protection locked="0"/>
    </xf>
    <xf numFmtId="0" fontId="3" fillId="10" borderId="0" xfId="0" applyFont="1" applyFill="1" applyAlignment="1">
      <alignment wrapText="1"/>
    </xf>
    <xf numFmtId="165" fontId="0" fillId="10" borderId="1" xfId="2" applyNumberFormat="1" applyFont="1" applyFill="1" applyBorder="1" applyProtection="1"/>
    <xf numFmtId="165" fontId="0" fillId="10" borderId="1" xfId="0" applyNumberFormat="1" applyFont="1" applyFill="1" applyBorder="1" applyProtection="1"/>
    <xf numFmtId="3" fontId="0" fillId="14" borderId="1" xfId="2" applyNumberFormat="1" applyFont="1" applyFill="1" applyBorder="1" applyProtection="1"/>
    <xf numFmtId="0" fontId="12" fillId="0" borderId="0" xfId="0" applyFont="1" applyAlignment="1">
      <alignment horizontal="left" wrapText="1" indent="1"/>
    </xf>
    <xf numFmtId="0" fontId="6" fillId="10" borderId="0" xfId="0" applyFont="1" applyFill="1" applyBorder="1" applyAlignment="1">
      <alignment horizontal="center"/>
    </xf>
    <xf numFmtId="0" fontId="3" fillId="14" borderId="0" xfId="0" applyFont="1" applyFill="1" applyAlignment="1">
      <alignment horizontal="center" vertical="center" wrapText="1"/>
    </xf>
    <xf numFmtId="0" fontId="20" fillId="0" borderId="0" xfId="0" applyFont="1"/>
    <xf numFmtId="0" fontId="6" fillId="14" borderId="0" xfId="0" applyFont="1" applyFill="1" applyBorder="1" applyAlignment="1">
      <alignment horizontal="left"/>
    </xf>
    <xf numFmtId="0" fontId="0" fillId="14" borderId="0" xfId="0" applyFill="1" applyBorder="1" applyAlignment="1">
      <alignment horizontal="left"/>
    </xf>
    <xf numFmtId="0" fontId="0" fillId="10" borderId="0" xfId="0" applyFill="1"/>
    <xf numFmtId="0" fontId="27" fillId="10" borderId="0" xfId="0" applyFont="1" applyFill="1" applyBorder="1" applyAlignment="1">
      <alignment horizontal="center"/>
    </xf>
    <xf numFmtId="0" fontId="3" fillId="10" borderId="0" xfId="0" applyFont="1" applyFill="1" applyAlignment="1">
      <alignment wrapText="1"/>
    </xf>
    <xf numFmtId="0" fontId="21" fillId="10" borderId="0" xfId="0" applyFont="1" applyFill="1" applyAlignment="1">
      <alignment horizontal="left" indent="2"/>
    </xf>
    <xf numFmtId="165" fontId="21" fillId="10" borderId="0" xfId="0" applyNumberFormat="1" applyFont="1" applyFill="1"/>
    <xf numFmtId="9" fontId="21" fillId="10" borderId="0" xfId="3" applyNumberFormat="1" applyFont="1" applyFill="1"/>
    <xf numFmtId="0" fontId="31" fillId="10" borderId="0" xfId="0" applyFont="1" applyFill="1" applyAlignment="1">
      <alignment horizontal="left" indent="2"/>
    </xf>
    <xf numFmtId="165" fontId="31" fillId="10" borderId="0" xfId="2" applyNumberFormat="1" applyFont="1" applyFill="1"/>
    <xf numFmtId="0" fontId="23" fillId="14" borderId="0" xfId="0" applyFont="1" applyFill="1"/>
    <xf numFmtId="0" fontId="21" fillId="4" borderId="0" xfId="0" applyFont="1" applyFill="1" applyAlignment="1">
      <alignment horizontal="left" indent="2"/>
    </xf>
    <xf numFmtId="166" fontId="21" fillId="4" borderId="0" xfId="3" applyNumberFormat="1" applyFont="1" applyFill="1"/>
    <xf numFmtId="0" fontId="6" fillId="7" borderId="0" xfId="0" applyFont="1" applyFill="1" applyBorder="1" applyAlignment="1">
      <alignment horizontal="left"/>
    </xf>
    <xf numFmtId="0" fontId="0" fillId="7" borderId="0" xfId="0" applyFill="1" applyBorder="1" applyAlignment="1">
      <alignment horizontal="left"/>
    </xf>
    <xf numFmtId="167" fontId="0" fillId="6" borderId="1" xfId="3" applyNumberFormat="1" applyFont="1" applyFill="1" applyBorder="1" applyAlignment="1" applyProtection="1">
      <alignment horizontal="center" vertical="center"/>
    </xf>
    <xf numFmtId="0" fontId="6" fillId="19" borderId="0" xfId="0" applyFont="1" applyFill="1"/>
    <xf numFmtId="0" fontId="12" fillId="19" borderId="0" xfId="0" applyFont="1" applyFill="1"/>
    <xf numFmtId="0" fontId="22" fillId="0" borderId="0" xfId="0" applyFont="1"/>
    <xf numFmtId="0" fontId="37" fillId="21" borderId="0" xfId="0" applyFont="1" applyFill="1"/>
    <xf numFmtId="0" fontId="36" fillId="22" borderId="0" xfId="0" applyFont="1" applyFill="1"/>
    <xf numFmtId="0" fontId="37" fillId="22" borderId="0" xfId="0" applyFont="1" applyFill="1"/>
    <xf numFmtId="0" fontId="35" fillId="22" borderId="0" xfId="0" applyFont="1" applyFill="1"/>
    <xf numFmtId="0" fontId="36" fillId="21" borderId="0" xfId="0" applyFont="1" applyFill="1"/>
    <xf numFmtId="0" fontId="35" fillId="21" borderId="0" xfId="0" applyFont="1" applyFill="1"/>
    <xf numFmtId="165" fontId="37" fillId="21" borderId="0" xfId="0" applyNumberFormat="1" applyFont="1" applyFill="1"/>
    <xf numFmtId="0" fontId="35" fillId="23" borderId="0" xfId="0" applyFont="1" applyFill="1"/>
    <xf numFmtId="165" fontId="37" fillId="21" borderId="0" xfId="2" applyNumberFormat="1" applyFont="1" applyFill="1"/>
    <xf numFmtId="0" fontId="35" fillId="24" borderId="0" xfId="0" applyFont="1" applyFill="1"/>
    <xf numFmtId="0" fontId="37" fillId="23" borderId="0" xfId="0" applyFont="1" applyFill="1"/>
    <xf numFmtId="164" fontId="37" fillId="23" borderId="0" xfId="0" applyNumberFormat="1" applyFont="1" applyFill="1"/>
    <xf numFmtId="5" fontId="37" fillId="23" borderId="0" xfId="0" applyNumberFormat="1" applyFont="1" applyFill="1"/>
    <xf numFmtId="165" fontId="37" fillId="23" borderId="0" xfId="0" applyNumberFormat="1" applyFont="1" applyFill="1"/>
    <xf numFmtId="5" fontId="37" fillId="21" borderId="0" xfId="0" applyNumberFormat="1" applyFont="1" applyFill="1"/>
    <xf numFmtId="0" fontId="37" fillId="23" borderId="0" xfId="0" applyFont="1" applyFill="1" applyAlignment="1">
      <alignment wrapText="1"/>
    </xf>
    <xf numFmtId="0" fontId="34" fillId="22" borderId="0" xfId="0" applyFont="1" applyFill="1"/>
    <xf numFmtId="0" fontId="33" fillId="22" borderId="0" xfId="0" applyFont="1" applyFill="1"/>
    <xf numFmtId="0" fontId="40" fillId="22" borderId="0" xfId="0" applyFont="1" applyFill="1" applyAlignment="1">
      <alignment vertical="center"/>
    </xf>
    <xf numFmtId="0" fontId="40" fillId="22" borderId="0" xfId="0" applyFont="1" applyFill="1" applyAlignment="1">
      <alignment vertical="center" wrapText="1"/>
    </xf>
    <xf numFmtId="3" fontId="35" fillId="22" borderId="1" xfId="3" applyNumberFormat="1" applyFont="1" applyFill="1" applyBorder="1" applyAlignment="1" applyProtection="1">
      <alignment horizontal="center" vertical="center"/>
      <protection locked="0"/>
    </xf>
    <xf numFmtId="0" fontId="0" fillId="8" borderId="1" xfId="0" applyFont="1" applyFill="1" applyBorder="1" applyAlignment="1" applyProtection="1">
      <alignment vertical="top" wrapText="1"/>
      <protection locked="0"/>
    </xf>
    <xf numFmtId="0" fontId="0" fillId="8" borderId="1" xfId="0" applyFill="1" applyBorder="1" applyAlignment="1" applyProtection="1">
      <alignment vertical="top" wrapText="1"/>
      <protection locked="0"/>
    </xf>
    <xf numFmtId="10" fontId="0" fillId="8" borderId="1" xfId="3" applyNumberFormat="1" applyFont="1" applyFill="1" applyBorder="1" applyAlignment="1" applyProtection="1">
      <alignment horizontal="center" vertical="center"/>
      <protection locked="0"/>
    </xf>
    <xf numFmtId="165" fontId="0" fillId="8" borderId="1" xfId="3" applyNumberFormat="1" applyFont="1" applyFill="1" applyBorder="1" applyAlignment="1" applyProtection="1">
      <alignment horizontal="center" vertical="center"/>
      <protection locked="0"/>
    </xf>
    <xf numFmtId="166" fontId="0" fillId="8" borderId="1" xfId="3" applyNumberFormat="1" applyFont="1" applyFill="1" applyBorder="1" applyAlignment="1" applyProtection="1">
      <alignment horizontal="center" vertical="center"/>
      <protection locked="0"/>
    </xf>
    <xf numFmtId="166" fontId="35" fillId="22" borderId="1" xfId="3" applyNumberFormat="1" applyFont="1" applyFill="1" applyBorder="1" applyAlignment="1" applyProtection="1">
      <alignment horizontal="center" vertical="center"/>
      <protection locked="0"/>
    </xf>
    <xf numFmtId="167" fontId="35" fillId="22" borderId="1" xfId="3" applyNumberFormat="1" applyFont="1" applyFill="1" applyBorder="1" applyAlignment="1" applyProtection="1">
      <alignment horizontal="center" vertical="center"/>
      <protection locked="0"/>
    </xf>
    <xf numFmtId="165" fontId="35" fillId="22" borderId="1" xfId="3" applyNumberFormat="1" applyFont="1" applyFill="1" applyBorder="1" applyAlignment="1" applyProtection="1">
      <alignment horizontal="center" vertical="center"/>
      <protection locked="0"/>
    </xf>
    <xf numFmtId="3" fontId="35" fillId="22" borderId="1" xfId="1" applyNumberFormat="1" applyFont="1" applyFill="1" applyBorder="1" applyAlignment="1" applyProtection="1">
      <alignment horizontal="center" vertical="center"/>
      <protection locked="0"/>
    </xf>
    <xf numFmtId="165" fontId="35" fillId="22" borderId="1" xfId="1" applyNumberFormat="1" applyFont="1" applyFill="1" applyBorder="1" applyAlignment="1" applyProtection="1">
      <alignment horizontal="center" vertical="center"/>
      <protection locked="0"/>
    </xf>
    <xf numFmtId="0" fontId="35" fillId="22" borderId="1" xfId="1" applyNumberFormat="1" applyFont="1" applyFill="1" applyBorder="1" applyAlignment="1" applyProtection="1">
      <alignment horizontal="center" vertical="center"/>
      <protection locked="0"/>
    </xf>
    <xf numFmtId="0" fontId="37" fillId="22" borderId="0" xfId="0" applyFont="1" applyFill="1"/>
    <xf numFmtId="3" fontId="35" fillId="22" borderId="1" xfId="2" applyNumberFormat="1" applyFont="1" applyFill="1" applyBorder="1" applyProtection="1">
      <protection locked="0"/>
    </xf>
    <xf numFmtId="0" fontId="0" fillId="2" borderId="1" xfId="0" applyFont="1" applyFill="1" applyBorder="1" applyAlignment="1" applyProtection="1">
      <alignment wrapText="1"/>
      <protection locked="0"/>
    </xf>
    <xf numFmtId="165" fontId="35" fillId="22" borderId="1" xfId="0" applyNumberFormat="1" applyFont="1" applyFill="1" applyBorder="1" applyAlignment="1" applyProtection="1">
      <alignment vertical="center"/>
      <protection locked="0"/>
    </xf>
    <xf numFmtId="165" fontId="35" fillId="22" borderId="1" xfId="0" applyNumberFormat="1" applyFont="1" applyFill="1" applyBorder="1" applyProtection="1">
      <protection locked="0"/>
    </xf>
    <xf numFmtId="0" fontId="35" fillId="6" borderId="0" xfId="0" applyFont="1" applyFill="1" applyBorder="1"/>
    <xf numFmtId="0" fontId="0" fillId="2" borderId="1" xfId="0" applyFont="1" applyFill="1" applyBorder="1" applyAlignment="1" applyProtection="1">
      <alignment vertical="top" wrapText="1"/>
      <protection locked="0"/>
    </xf>
    <xf numFmtId="0" fontId="21" fillId="2" borderId="1" xfId="0" applyFont="1" applyFill="1" applyBorder="1" applyAlignment="1" applyProtection="1">
      <alignment wrapText="1"/>
      <protection locked="0"/>
    </xf>
    <xf numFmtId="165" fontId="36" fillId="21" borderId="1" xfId="0" applyNumberFormat="1" applyFont="1" applyFill="1" applyBorder="1"/>
    <xf numFmtId="165" fontId="35" fillId="22" borderId="1" xfId="1" applyNumberFormat="1" applyFont="1" applyFill="1" applyBorder="1" applyProtection="1">
      <protection locked="0"/>
    </xf>
    <xf numFmtId="165" fontId="11" fillId="22" borderId="1" xfId="1" applyNumberFormat="1" applyFont="1" applyFill="1" applyBorder="1" applyAlignment="1" applyProtection="1">
      <alignment horizontal="center"/>
      <protection locked="0"/>
    </xf>
    <xf numFmtId="165" fontId="40" fillId="22" borderId="1" xfId="1" applyNumberFormat="1" applyFont="1" applyFill="1" applyBorder="1" applyAlignment="1" applyProtection="1">
      <alignment horizontal="center"/>
      <protection locked="0"/>
    </xf>
    <xf numFmtId="0" fontId="35" fillId="22" borderId="3" xfId="3" applyNumberFormat="1" applyFont="1" applyFill="1" applyBorder="1" applyAlignment="1" applyProtection="1">
      <alignment horizontal="center"/>
      <protection locked="0"/>
    </xf>
    <xf numFmtId="166" fontId="35" fillId="22" borderId="13" xfId="3" applyNumberFormat="1" applyFont="1" applyFill="1" applyBorder="1" applyAlignment="1" applyProtection="1">
      <alignment horizontal="center"/>
      <protection locked="0"/>
    </xf>
    <xf numFmtId="166" fontId="12" fillId="22" borderId="1" xfId="3" applyNumberFormat="1" applyFont="1" applyFill="1" applyBorder="1" applyAlignment="1" applyProtection="1">
      <alignment horizontal="center"/>
      <protection locked="0"/>
    </xf>
    <xf numFmtId="166" fontId="40" fillId="22" borderId="1" xfId="3" applyNumberFormat="1" applyFont="1" applyFill="1" applyBorder="1" applyAlignment="1" applyProtection="1">
      <alignment horizontal="center"/>
    </xf>
    <xf numFmtId="166" fontId="35" fillId="22" borderId="1" xfId="3" applyNumberFormat="1" applyFont="1" applyFill="1" applyBorder="1" applyAlignment="1" applyProtection="1">
      <alignment horizontal="center"/>
      <protection locked="0"/>
    </xf>
    <xf numFmtId="0" fontId="35" fillId="6" borderId="0" xfId="0" applyFont="1" applyFill="1"/>
    <xf numFmtId="0" fontId="0" fillId="2" borderId="1" xfId="0" applyFont="1" applyFill="1" applyBorder="1" applyProtection="1">
      <protection locked="0"/>
    </xf>
    <xf numFmtId="0" fontId="12" fillId="2" borderId="0" xfId="0" applyFont="1" applyFill="1" applyBorder="1" applyAlignment="1">
      <alignment horizontal="center"/>
    </xf>
    <xf numFmtId="0" fontId="12" fillId="2" borderId="0" xfId="0" applyFont="1" applyFill="1" applyBorder="1"/>
    <xf numFmtId="0" fontId="35" fillId="25" borderId="0" xfId="0" applyFont="1" applyFill="1" applyBorder="1" applyAlignment="1">
      <alignment horizontal="left"/>
    </xf>
    <xf numFmtId="0" fontId="35" fillId="25" borderId="0" xfId="0" applyFont="1" applyFill="1" applyBorder="1" applyAlignment="1">
      <alignment horizontal="center"/>
    </xf>
    <xf numFmtId="0" fontId="35" fillId="25" borderId="0" xfId="0" applyFont="1" applyFill="1" applyBorder="1"/>
    <xf numFmtId="165" fontId="35" fillId="25" borderId="1" xfId="0" applyNumberFormat="1" applyFont="1" applyFill="1" applyBorder="1" applyAlignment="1">
      <alignment horizontal="center"/>
    </xf>
    <xf numFmtId="0" fontId="37" fillId="25" borderId="0" xfId="0" applyFont="1" applyFill="1" applyBorder="1" applyAlignment="1">
      <alignment horizontal="left"/>
    </xf>
    <xf numFmtId="0" fontId="37" fillId="25" borderId="0" xfId="0" applyFont="1" applyFill="1" applyBorder="1" applyAlignment="1">
      <alignment horizontal="center"/>
    </xf>
    <xf numFmtId="165" fontId="37" fillId="25" borderId="1" xfId="0" applyNumberFormat="1" applyFont="1" applyFill="1" applyBorder="1" applyAlignment="1">
      <alignment horizontal="center"/>
    </xf>
    <xf numFmtId="0" fontId="35" fillId="22" borderId="1" xfId="0" applyFont="1" applyFill="1" applyBorder="1" applyAlignment="1" applyProtection="1">
      <alignment horizontal="center"/>
      <protection locked="0"/>
    </xf>
    <xf numFmtId="0" fontId="35" fillId="22" borderId="3" xfId="2" applyNumberFormat="1" applyFont="1" applyFill="1" applyBorder="1" applyAlignment="1" applyProtection="1">
      <alignment horizontal="center"/>
      <protection locked="0"/>
    </xf>
    <xf numFmtId="166" fontId="35" fillId="22" borderId="13" xfId="2" applyNumberFormat="1" applyFont="1" applyFill="1" applyBorder="1" applyAlignment="1" applyProtection="1">
      <alignment horizontal="center"/>
      <protection locked="0"/>
    </xf>
    <xf numFmtId="166" fontId="12" fillId="22" borderId="1" xfId="2" applyNumberFormat="1" applyFont="1" applyFill="1" applyBorder="1" applyAlignment="1" applyProtection="1">
      <alignment horizontal="center"/>
      <protection locked="0"/>
    </xf>
    <xf numFmtId="166" fontId="35" fillId="22" borderId="1" xfId="2" applyNumberFormat="1" applyFont="1" applyFill="1" applyBorder="1" applyAlignment="1" applyProtection="1">
      <alignment horizontal="center"/>
      <protection locked="0"/>
    </xf>
    <xf numFmtId="0" fontId="12" fillId="2" borderId="1" xfId="0" applyFont="1" applyFill="1" applyBorder="1" applyProtection="1">
      <protection locked="0"/>
    </xf>
    <xf numFmtId="3" fontId="12" fillId="2" borderId="1" xfId="2" applyNumberFormat="1" applyFont="1" applyFill="1" applyBorder="1" applyAlignment="1" applyProtection="1">
      <alignment horizontal="right"/>
      <protection locked="0"/>
    </xf>
    <xf numFmtId="0" fontId="35" fillId="21" borderId="0" xfId="0" applyFont="1" applyFill="1" applyBorder="1" applyAlignment="1">
      <alignment horizontal="left"/>
    </xf>
    <xf numFmtId="165" fontId="35" fillId="21" borderId="1" xfId="0" applyNumberFormat="1" applyFont="1" applyFill="1" applyBorder="1" applyAlignment="1">
      <alignment horizontal="center"/>
    </xf>
    <xf numFmtId="165" fontId="35" fillId="22" borderId="1" xfId="2" applyNumberFormat="1" applyFont="1" applyFill="1" applyBorder="1" applyProtection="1">
      <protection locked="0"/>
    </xf>
    <xf numFmtId="0" fontId="0" fillId="2" borderId="1" xfId="0" applyFont="1" applyFill="1" applyBorder="1" applyAlignment="1">
      <alignment wrapText="1"/>
    </xf>
    <xf numFmtId="165" fontId="35" fillId="26" borderId="1" xfId="2" applyNumberFormat="1" applyFont="1" applyFill="1" applyBorder="1" applyProtection="1">
      <protection locked="0"/>
    </xf>
    <xf numFmtId="165" fontId="35" fillId="26" borderId="1" xfId="0" applyNumberFormat="1" applyFont="1" applyFill="1" applyBorder="1" applyProtection="1">
      <protection locked="0"/>
    </xf>
    <xf numFmtId="166" fontId="14" fillId="10" borderId="1" xfId="3" applyNumberFormat="1" applyFont="1" applyFill="1" applyBorder="1" applyAlignment="1" applyProtection="1">
      <alignment horizontal="center"/>
    </xf>
    <xf numFmtId="166" fontId="14" fillId="10" borderId="14" xfId="3" applyNumberFormat="1" applyFont="1" applyFill="1" applyBorder="1" applyAlignment="1" applyProtection="1">
      <alignment horizontal="center"/>
    </xf>
    <xf numFmtId="165" fontId="14" fillId="10" borderId="1" xfId="1" applyNumberFormat="1" applyFont="1" applyFill="1" applyBorder="1" applyProtection="1"/>
    <xf numFmtId="165" fontId="14" fillId="10" borderId="1" xfId="1" applyNumberFormat="1" applyFont="1" applyFill="1" applyBorder="1" applyAlignment="1" applyProtection="1">
      <alignment horizontal="center"/>
    </xf>
    <xf numFmtId="0" fontId="14" fillId="10" borderId="3" xfId="3" applyNumberFormat="1" applyFont="1" applyFill="1" applyBorder="1" applyAlignment="1" applyProtection="1">
      <alignment horizontal="center"/>
    </xf>
    <xf numFmtId="166" fontId="14" fillId="10" borderId="13" xfId="3" applyNumberFormat="1" applyFont="1" applyFill="1" applyBorder="1" applyAlignment="1" applyProtection="1">
      <alignment horizontal="center"/>
    </xf>
    <xf numFmtId="166" fontId="12" fillId="22" borderId="14" xfId="3" applyNumberFormat="1" applyFont="1" applyFill="1" applyBorder="1" applyAlignment="1" applyProtection="1">
      <alignment horizontal="center"/>
      <protection locked="0"/>
    </xf>
    <xf numFmtId="166" fontId="12" fillId="22" borderId="14" xfId="2" applyNumberFormat="1" applyFont="1" applyFill="1" applyBorder="1" applyAlignment="1" applyProtection="1">
      <alignment horizontal="center"/>
      <protection locked="0"/>
    </xf>
    <xf numFmtId="166" fontId="14" fillId="10" borderId="1" xfId="2" applyNumberFormat="1" applyFont="1" applyFill="1" applyBorder="1" applyAlignment="1" applyProtection="1">
      <alignment horizontal="center"/>
    </xf>
    <xf numFmtId="166" fontId="14" fillId="10" borderId="14" xfId="2" applyNumberFormat="1" applyFont="1" applyFill="1" applyBorder="1" applyAlignment="1" applyProtection="1">
      <alignment horizontal="center"/>
    </xf>
    <xf numFmtId="0" fontId="14" fillId="10" borderId="4" xfId="0" applyFont="1" applyFill="1" applyBorder="1" applyProtection="1"/>
    <xf numFmtId="0" fontId="14" fillId="10" borderId="1" xfId="0" applyFont="1" applyFill="1" applyBorder="1" applyAlignment="1" applyProtection="1">
      <alignment horizontal="center"/>
    </xf>
    <xf numFmtId="165" fontId="14" fillId="10" borderId="1" xfId="0" applyNumberFormat="1" applyFont="1" applyFill="1" applyBorder="1" applyProtection="1"/>
    <xf numFmtId="0" fontId="14" fillId="10" borderId="3" xfId="2" applyNumberFormat="1" applyFont="1" applyFill="1" applyBorder="1" applyAlignment="1" applyProtection="1">
      <alignment horizontal="center"/>
    </xf>
    <xf numFmtId="166" fontId="14" fillId="10" borderId="13" xfId="2" applyNumberFormat="1" applyFont="1" applyFill="1" applyBorder="1" applyAlignment="1" applyProtection="1">
      <alignment horizontal="center"/>
    </xf>
    <xf numFmtId="0" fontId="14" fillId="10" borderId="3" xfId="0" applyFont="1" applyFill="1" applyBorder="1" applyProtection="1"/>
    <xf numFmtId="0" fontId="0" fillId="22" borderId="0" xfId="0" applyFont="1" applyFill="1"/>
    <xf numFmtId="0" fontId="9" fillId="21" borderId="0" xfId="0" applyFont="1" applyFill="1"/>
    <xf numFmtId="0" fontId="32" fillId="22" borderId="0" xfId="0" applyFont="1" applyFill="1"/>
    <xf numFmtId="166" fontId="35" fillId="22" borderId="1" xfId="0" applyNumberFormat="1" applyFont="1" applyFill="1" applyBorder="1" applyAlignment="1" applyProtection="1">
      <alignment horizontal="center"/>
      <protection locked="0"/>
    </xf>
    <xf numFmtId="168" fontId="35" fillId="22" borderId="1" xfId="0" applyNumberFormat="1" applyFont="1" applyFill="1" applyBorder="1" applyAlignment="1" applyProtection="1">
      <alignment horizontal="center"/>
      <protection locked="0"/>
    </xf>
    <xf numFmtId="166" fontId="35" fillId="22" borderId="1" xfId="0" applyNumberFormat="1" applyFont="1" applyFill="1" applyBorder="1" applyAlignment="1">
      <alignment horizontal="center"/>
    </xf>
    <xf numFmtId="168" fontId="35" fillId="22" borderId="1" xfId="0" applyNumberFormat="1" applyFont="1" applyFill="1" applyBorder="1" applyAlignment="1">
      <alignment horizontal="center"/>
    </xf>
    <xf numFmtId="0" fontId="35" fillId="14" borderId="0" xfId="0" applyFont="1" applyFill="1"/>
    <xf numFmtId="0" fontId="36" fillId="21" borderId="0" xfId="0" applyFont="1" applyFill="1" applyBorder="1" applyAlignment="1">
      <alignment horizontal="left"/>
    </xf>
    <xf numFmtId="0" fontId="10" fillId="2" borderId="0" xfId="0" applyFont="1" applyFill="1" applyBorder="1" applyAlignment="1">
      <alignment horizontal="center"/>
    </xf>
    <xf numFmtId="0" fontId="7" fillId="2" borderId="0" xfId="0" applyFont="1" applyFill="1" applyBorder="1"/>
    <xf numFmtId="165" fontId="36" fillId="21" borderId="1" xfId="0" applyNumberFormat="1" applyFont="1" applyFill="1" applyBorder="1" applyAlignment="1">
      <alignment horizontal="center"/>
    </xf>
    <xf numFmtId="0" fontId="23" fillId="0" borderId="0" xfId="0" applyFont="1" applyAlignment="1">
      <alignment vertical="top" wrapText="1"/>
    </xf>
    <xf numFmtId="0" fontId="28" fillId="0" borderId="0" xfId="0" applyFont="1" applyAlignment="1">
      <alignment vertical="top" wrapText="1"/>
    </xf>
    <xf numFmtId="0" fontId="4" fillId="0" borderId="0" xfId="0" applyFont="1" applyAlignment="1">
      <alignment vertical="top" wrapText="1"/>
    </xf>
    <xf numFmtId="0" fontId="0" fillId="0" borderId="10" xfId="0" applyFill="1" applyBorder="1" applyAlignment="1">
      <alignment vertical="top" wrapText="1"/>
    </xf>
    <xf numFmtId="0" fontId="0" fillId="0" borderId="0" xfId="0" applyFill="1" applyBorder="1" applyAlignment="1">
      <alignment vertical="top" wrapText="1"/>
    </xf>
    <xf numFmtId="0" fontId="0" fillId="0" borderId="2" xfId="0" applyFill="1" applyBorder="1" applyAlignment="1">
      <alignment vertical="top" wrapText="1"/>
    </xf>
    <xf numFmtId="0" fontId="32" fillId="20" borderId="1" xfId="0" applyFont="1" applyFill="1" applyBorder="1" applyAlignment="1">
      <alignment vertical="top" wrapText="1"/>
    </xf>
    <xf numFmtId="0" fontId="22" fillId="19" borderId="6" xfId="0" applyFont="1" applyFill="1" applyBorder="1" applyAlignment="1">
      <alignment vertical="top"/>
    </xf>
    <xf numFmtId="0" fontId="0" fillId="0" borderId="8" xfId="0" applyFill="1" applyBorder="1" applyAlignment="1">
      <alignment vertical="top" wrapText="1"/>
    </xf>
    <xf numFmtId="0" fontId="0" fillId="0" borderId="7" xfId="0" applyFill="1" applyBorder="1" applyAlignment="1">
      <alignment vertical="top" wrapText="1"/>
    </xf>
    <xf numFmtId="0" fontId="0" fillId="0" borderId="9" xfId="0" applyFill="1" applyBorder="1" applyAlignment="1">
      <alignment vertical="top" wrapText="1"/>
    </xf>
    <xf numFmtId="0" fontId="0" fillId="0" borderId="10" xfId="0" applyFill="1" applyBorder="1" applyAlignment="1">
      <alignment horizontal="left" vertical="top" wrapText="1" indent="1"/>
    </xf>
    <xf numFmtId="0" fontId="0" fillId="0" borderId="0" xfId="0" applyFill="1" applyBorder="1" applyAlignment="1">
      <alignment horizontal="left" vertical="top" wrapText="1" indent="1"/>
    </xf>
    <xf numFmtId="0" fontId="0" fillId="0" borderId="2" xfId="0" applyFill="1" applyBorder="1" applyAlignment="1">
      <alignment horizontal="left" vertical="top" wrapText="1" indent="1"/>
    </xf>
    <xf numFmtId="0" fontId="0" fillId="0" borderId="11" xfId="0" applyFill="1" applyBorder="1" applyAlignment="1">
      <alignment horizontal="left" vertical="top" indent="1"/>
    </xf>
    <xf numFmtId="0" fontId="0" fillId="0" borderId="6" xfId="0" applyFill="1" applyBorder="1" applyAlignment="1">
      <alignment horizontal="left" vertical="top" indent="1"/>
    </xf>
    <xf numFmtId="0" fontId="0" fillId="0" borderId="12" xfId="0" applyFill="1" applyBorder="1" applyAlignment="1">
      <alignment horizontal="left" vertical="top" indent="1"/>
    </xf>
    <xf numFmtId="0" fontId="0" fillId="0" borderId="11" xfId="0" applyFill="1" applyBorder="1" applyAlignment="1">
      <alignment vertical="top" wrapText="1"/>
    </xf>
    <xf numFmtId="0" fontId="0" fillId="0" borderId="6" xfId="0" applyFill="1" applyBorder="1" applyAlignment="1">
      <alignment vertical="top" wrapText="1"/>
    </xf>
    <xf numFmtId="0" fontId="0" fillId="0" borderId="12" xfId="0" applyFill="1" applyBorder="1" applyAlignment="1">
      <alignment vertical="top" wrapText="1"/>
    </xf>
    <xf numFmtId="0" fontId="16" fillId="0" borderId="8" xfId="0" applyFont="1" applyFill="1" applyBorder="1" applyAlignment="1">
      <alignment vertical="top"/>
    </xf>
    <xf numFmtId="0" fontId="16" fillId="0" borderId="7" xfId="0" applyFont="1" applyFill="1" applyBorder="1" applyAlignment="1">
      <alignment vertical="top"/>
    </xf>
    <xf numFmtId="0" fontId="16" fillId="0" borderId="9" xfId="0" applyFont="1" applyFill="1" applyBorder="1" applyAlignment="1">
      <alignment vertical="top"/>
    </xf>
    <xf numFmtId="0" fontId="0" fillId="0" borderId="10" xfId="0" applyFill="1" applyBorder="1" applyAlignment="1">
      <alignment horizontal="left" vertical="top" wrapText="1" indent="4"/>
    </xf>
    <xf numFmtId="0" fontId="0" fillId="0" borderId="0" xfId="0" applyFill="1" applyBorder="1" applyAlignment="1">
      <alignment horizontal="left" vertical="top" wrapText="1" indent="4"/>
    </xf>
    <xf numFmtId="0" fontId="0" fillId="0" borderId="2" xfId="0" applyFill="1" applyBorder="1" applyAlignment="1">
      <alignment horizontal="left" vertical="top" wrapText="1" indent="4"/>
    </xf>
    <xf numFmtId="0" fontId="27" fillId="10" borderId="0" xfId="0" applyFont="1" applyFill="1" applyBorder="1" applyAlignment="1">
      <alignment horizontal="center"/>
    </xf>
    <xf numFmtId="0" fontId="6" fillId="14" borderId="0" xfId="0" applyFont="1" applyFill="1" applyBorder="1" applyAlignment="1">
      <alignment horizontal="left"/>
    </xf>
    <xf numFmtId="0" fontId="7" fillId="10" borderId="3" xfId="0" applyFont="1" applyFill="1" applyBorder="1"/>
    <xf numFmtId="0" fontId="7" fillId="10" borderId="5" xfId="0" applyFont="1" applyFill="1" applyBorder="1"/>
    <xf numFmtId="0" fontId="7" fillId="10" borderId="4" xfId="0" applyFont="1" applyFill="1" applyBorder="1"/>
    <xf numFmtId="0" fontId="5" fillId="10" borderId="3" xfId="0" applyFont="1" applyFill="1" applyBorder="1"/>
    <xf numFmtId="0" fontId="5" fillId="10" borderId="5" xfId="0" applyFont="1" applyFill="1" applyBorder="1"/>
    <xf numFmtId="0" fontId="5" fillId="10" borderId="4" xfId="0" applyFont="1" applyFill="1" applyBorder="1"/>
    <xf numFmtId="0" fontId="3" fillId="10" borderId="0" xfId="0" applyFont="1" applyFill="1" applyAlignment="1">
      <alignment wrapText="1"/>
    </xf>
    <xf numFmtId="0" fontId="37" fillId="21" borderId="0" xfId="0" applyFont="1" applyFill="1" applyAlignment="1">
      <alignment wrapText="1"/>
    </xf>
    <xf numFmtId="0" fontId="0" fillId="7" borderId="0" xfId="0" applyFont="1" applyFill="1" applyAlignment="1">
      <alignment horizontal="center"/>
    </xf>
    <xf numFmtId="0" fontId="36" fillId="21" borderId="0" xfId="0" applyFont="1" applyFill="1" applyAlignment="1">
      <alignment horizontal="center"/>
    </xf>
    <xf numFmtId="0" fontId="3" fillId="14" borderId="0" xfId="0" applyFont="1" applyFill="1" applyAlignment="1">
      <alignment horizontal="center" vertical="center" wrapText="1"/>
    </xf>
    <xf numFmtId="0" fontId="37" fillId="22" borderId="0" xfId="0" applyFont="1" applyFill="1" applyAlignment="1">
      <alignment horizontal="center" vertical="center" wrapText="1"/>
    </xf>
    <xf numFmtId="0" fontId="21" fillId="14" borderId="7" xfId="0" applyFont="1" applyFill="1" applyBorder="1" applyAlignment="1">
      <alignment vertical="top" wrapText="1"/>
    </xf>
    <xf numFmtId="0" fontId="21" fillId="14" borderId="0" xfId="0" applyFont="1" applyFill="1" applyBorder="1" applyAlignment="1">
      <alignment vertical="top" wrapText="1"/>
    </xf>
    <xf numFmtId="0" fontId="0" fillId="10" borderId="0" xfId="0" applyFill="1" applyAlignment="1">
      <alignment horizontal="left" vertical="top" wrapText="1" indent="1"/>
    </xf>
    <xf numFmtId="0" fontId="22" fillId="19" borderId="6" xfId="0" applyFont="1" applyFill="1" applyBorder="1" applyAlignment="1">
      <alignment horizontal="left" vertical="top"/>
    </xf>
    <xf numFmtId="0" fontId="39" fillId="22" borderId="0" xfId="0" applyFont="1" applyFill="1" applyAlignment="1">
      <alignment vertical="top"/>
    </xf>
    <xf numFmtId="0" fontId="3" fillId="0" borderId="0" xfId="0" applyFont="1" applyFill="1" applyAlignment="1">
      <alignment horizontal="left" vertical="center" wrapText="1"/>
    </xf>
    <xf numFmtId="0" fontId="0" fillId="10" borderId="0" xfId="0" applyFill="1" applyAlignment="1">
      <alignment horizontal="left" vertical="top" wrapText="1" indent="4"/>
    </xf>
    <xf numFmtId="0" fontId="3" fillId="0" borderId="0" xfId="0" applyFont="1" applyFill="1" applyAlignment="1">
      <alignment vertical="center"/>
    </xf>
    <xf numFmtId="0" fontId="0" fillId="19" borderId="0" xfId="0" applyFill="1" applyAlignment="1">
      <alignment horizontal="left" vertical="top" wrapText="1" indent="1"/>
    </xf>
    <xf numFmtId="0" fontId="3" fillId="0" borderId="0" xfId="0" applyFont="1" applyFill="1" applyAlignment="1">
      <alignment vertical="center" wrapText="1"/>
    </xf>
    <xf numFmtId="0" fontId="0" fillId="0" borderId="0" xfId="0" applyFont="1" applyFill="1" applyAlignment="1">
      <alignment vertical="center" wrapText="1"/>
    </xf>
    <xf numFmtId="0" fontId="0" fillId="10" borderId="0" xfId="0" applyFill="1" applyAlignment="1">
      <alignment horizontal="left" vertical="top" wrapText="1" indent="7"/>
    </xf>
    <xf numFmtId="0" fontId="0" fillId="2" borderId="0" xfId="0" applyFont="1" applyFill="1" applyAlignment="1">
      <alignment horizontal="left" vertical="top" wrapText="1" indent="10"/>
    </xf>
    <xf numFmtId="0" fontId="39" fillId="22" borderId="0" xfId="0" applyFont="1" applyFill="1" applyBorder="1" applyAlignment="1">
      <alignment horizontal="left" vertical="center" wrapText="1"/>
    </xf>
    <xf numFmtId="0" fontId="37" fillId="22" borderId="0" xfId="0" applyFont="1" applyFill="1" applyBorder="1" applyAlignment="1">
      <alignment horizontal="left" vertical="center" wrapText="1"/>
    </xf>
    <xf numFmtId="0" fontId="0" fillId="10" borderId="0" xfId="0" applyFill="1" applyAlignment="1">
      <alignment horizontal="left" vertical="center" wrapText="1" indent="1"/>
    </xf>
    <xf numFmtId="0" fontId="0" fillId="2" borderId="0" xfId="0" applyFill="1" applyAlignment="1">
      <alignment horizontal="left" vertical="top" wrapText="1" indent="7"/>
    </xf>
    <xf numFmtId="0" fontId="0" fillId="10" borderId="0" xfId="0" applyFill="1" applyAlignment="1">
      <alignment horizontal="left" vertical="center" wrapText="1" indent="4"/>
    </xf>
    <xf numFmtId="0" fontId="0" fillId="10" borderId="0" xfId="0" applyFill="1" applyBorder="1" applyAlignment="1">
      <alignment horizontal="left" vertical="top" wrapText="1" indent="4"/>
    </xf>
    <xf numFmtId="0" fontId="39" fillId="22" borderId="0" xfId="0" applyFont="1" applyFill="1" applyAlignment="1">
      <alignment vertical="center"/>
    </xf>
    <xf numFmtId="0" fontId="3" fillId="0" borderId="0" xfId="0" applyFont="1" applyFill="1" applyBorder="1" applyAlignment="1">
      <alignment horizontal="left" vertical="center" wrapText="1"/>
    </xf>
    <xf numFmtId="0" fontId="0" fillId="10" borderId="6" xfId="0" applyFill="1" applyBorder="1" applyAlignment="1">
      <alignment horizontal="left" vertical="center" wrapText="1" indent="1"/>
    </xf>
    <xf numFmtId="0" fontId="0" fillId="2" borderId="0" xfId="0" applyFill="1" applyAlignment="1">
      <alignment horizontal="left" vertical="center" wrapText="1"/>
    </xf>
    <xf numFmtId="0" fontId="0" fillId="2" borderId="2" xfId="0" applyFill="1" applyBorder="1" applyAlignment="1">
      <alignment horizontal="left" vertical="center" wrapText="1"/>
    </xf>
    <xf numFmtId="0" fontId="35" fillId="22" borderId="1" xfId="0" applyFont="1" applyFill="1" applyBorder="1" applyProtection="1">
      <protection locked="0"/>
    </xf>
    <xf numFmtId="0" fontId="0" fillId="2" borderId="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37" fillId="22" borderId="0" xfId="0" applyFont="1" applyFill="1"/>
    <xf numFmtId="0" fontId="21" fillId="7" borderId="7" xfId="0" applyFont="1" applyFill="1" applyBorder="1" applyAlignment="1">
      <alignment vertical="top" wrapText="1"/>
    </xf>
    <xf numFmtId="0" fontId="12" fillId="2" borderId="0" xfId="0" applyFont="1" applyFill="1" applyAlignment="1">
      <alignment horizontal="left" wrapText="1"/>
    </xf>
    <xf numFmtId="0" fontId="12" fillId="2" borderId="2" xfId="0" applyFont="1" applyFill="1" applyBorder="1" applyAlignment="1">
      <alignment horizontal="left" wrapText="1"/>
    </xf>
    <xf numFmtId="0" fontId="40" fillId="22" borderId="0" xfId="0" applyFont="1" applyFill="1" applyAlignment="1">
      <alignment vertical="center" wrapText="1"/>
    </xf>
    <xf numFmtId="0" fontId="4" fillId="2" borderId="1" xfId="0" applyFont="1" applyFill="1" applyBorder="1" applyAlignment="1" applyProtection="1">
      <alignment horizontal="left" vertical="top"/>
      <protection locked="0"/>
    </xf>
    <xf numFmtId="0" fontId="21" fillId="2" borderId="1" xfId="0" applyFont="1" applyFill="1" applyBorder="1" applyAlignment="1">
      <alignment horizontal="left" vertical="center"/>
    </xf>
    <xf numFmtId="164" fontId="9" fillId="6" borderId="6" xfId="2" applyNumberFormat="1" applyFont="1" applyFill="1" applyBorder="1" applyAlignment="1">
      <alignment horizontal="center" wrapText="1"/>
    </xf>
    <xf numFmtId="0" fontId="35" fillId="22" borderId="3" xfId="0" applyFont="1" applyFill="1" applyBorder="1" applyProtection="1">
      <protection locked="0"/>
    </xf>
    <xf numFmtId="0" fontId="35" fillId="22" borderId="4" xfId="0" applyFont="1" applyFill="1" applyBorder="1" applyProtection="1">
      <protection locked="0"/>
    </xf>
    <xf numFmtId="0" fontId="35" fillId="22" borderId="3" xfId="0" applyNumberFormat="1" applyFont="1" applyFill="1" applyBorder="1" applyProtection="1">
      <protection locked="0"/>
    </xf>
    <xf numFmtId="0" fontId="35" fillId="22" borderId="5" xfId="0" applyNumberFormat="1" applyFont="1" applyFill="1" applyBorder="1" applyProtection="1">
      <protection locked="0"/>
    </xf>
    <xf numFmtId="0" fontId="35" fillId="22" borderId="4" xfId="0" applyNumberFormat="1" applyFont="1" applyFill="1" applyBorder="1" applyProtection="1">
      <protection locked="0"/>
    </xf>
    <xf numFmtId="0" fontId="14" fillId="10" borderId="3" xfId="0" applyNumberFormat="1" applyFont="1" applyFill="1" applyBorder="1" applyProtection="1"/>
    <xf numFmtId="0" fontId="14" fillId="10" borderId="5" xfId="0" applyNumberFormat="1" applyFont="1" applyFill="1" applyBorder="1" applyProtection="1"/>
    <xf numFmtId="0" fontId="14" fillId="10" borderId="4" xfId="0" applyNumberFormat="1" applyFont="1" applyFill="1" applyBorder="1" applyProtection="1"/>
    <xf numFmtId="0" fontId="40" fillId="22" borderId="0" xfId="0" applyFont="1" applyFill="1" applyAlignment="1">
      <alignment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941100"/>
      <color rgb="FFF21D00"/>
      <color rgb="FFC01700"/>
      <color rgb="FFA81400"/>
      <color rgb="FF9999FF"/>
      <color rgb="FFA2CD85"/>
      <color rgb="FF8FC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Initiative Funding and Expenditures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Initiative Funding</c:v>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 Data - Graph Data'!$C$11:$G$11</c15:sqref>
                  </c15:fullRef>
                </c:ext>
              </c:extLst>
              <c:f>'Dashboard Data - Graph Data'!$D$11:$G$11</c:f>
              <c:strCache>
                <c:ptCount val="4"/>
                <c:pt idx="0">
                  <c:v>Year 0
(Start-up)</c:v>
                </c:pt>
                <c:pt idx="1">
                  <c:v>Year 1</c:v>
                </c:pt>
                <c:pt idx="2">
                  <c:v>Year 2</c:v>
                </c:pt>
                <c:pt idx="3">
                  <c:v>Year 3</c:v>
                </c:pt>
              </c:strCache>
            </c:strRef>
          </c:cat>
          <c:val>
            <c:numRef>
              <c:extLst>
                <c:ext xmlns:c15="http://schemas.microsoft.com/office/drawing/2012/chart" uri="{02D57815-91ED-43cb-92C2-25804820EDAC}">
                  <c15:fullRef>
                    <c15:sqref>'Dashboard Data - Graph Data'!$C$18:$G$18</c15:sqref>
                  </c15:fullRef>
                </c:ext>
              </c:extLst>
              <c:f>'Dashboard Data - Graph Data'!$D$18:$G$18</c:f>
              <c:numCache>
                <c:formatCode>"$"#,##0</c:formatCode>
                <c:ptCount val="4"/>
                <c:pt idx="0">
                  <c:v>258750</c:v>
                </c:pt>
                <c:pt idx="1">
                  <c:v>240125</c:v>
                </c:pt>
                <c:pt idx="2">
                  <c:v>221527.5</c:v>
                </c:pt>
                <c:pt idx="3">
                  <c:v>202958.05</c:v>
                </c:pt>
              </c:numCache>
            </c:numRef>
          </c:val>
          <c:extLst>
            <c:ext xmlns:c16="http://schemas.microsoft.com/office/drawing/2014/chart" uri="{C3380CC4-5D6E-409C-BE32-E72D297353CC}">
              <c16:uniqueId val="{00000000-57D5-4088-9AEE-2684A6A105D2}"/>
            </c:ext>
          </c:extLst>
        </c:ser>
        <c:ser>
          <c:idx val="1"/>
          <c:order val="1"/>
          <c:tx>
            <c:v>Initiative Direct Spending</c:v>
          </c:tx>
          <c:spPr>
            <a:solidFill>
              <a:srgbClr val="9411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 Data - Graph Data'!$C$11:$G$11</c15:sqref>
                  </c15:fullRef>
                </c:ext>
              </c:extLst>
              <c:f>'Dashboard Data - Graph Data'!$D$11:$G$11</c:f>
              <c:strCache>
                <c:ptCount val="4"/>
                <c:pt idx="0">
                  <c:v>Year 0
(Start-up)</c:v>
                </c:pt>
                <c:pt idx="1">
                  <c:v>Year 1</c:v>
                </c:pt>
                <c:pt idx="2">
                  <c:v>Year 2</c:v>
                </c:pt>
                <c:pt idx="3">
                  <c:v>Year 3</c:v>
                </c:pt>
              </c:strCache>
            </c:strRef>
          </c:cat>
          <c:val>
            <c:numRef>
              <c:extLst>
                <c:ext xmlns:c15="http://schemas.microsoft.com/office/drawing/2012/chart" uri="{02D57815-91ED-43cb-92C2-25804820EDAC}">
                  <c15:fullRef>
                    <c15:sqref>'Dashboard Data - Graph Data'!$C$25:$G$25</c15:sqref>
                  </c15:fullRef>
                </c:ext>
              </c:extLst>
              <c:f>'Dashboard Data - Graph Data'!$D$25:$G$25</c:f>
              <c:numCache>
                <c:formatCode>"$"#,##0</c:formatCode>
                <c:ptCount val="4"/>
                <c:pt idx="0">
                  <c:v>316250</c:v>
                </c:pt>
                <c:pt idx="1">
                  <c:v>322575</c:v>
                </c:pt>
                <c:pt idx="2">
                  <c:v>360276.5</c:v>
                </c:pt>
                <c:pt idx="3">
                  <c:v>399777.03</c:v>
                </c:pt>
              </c:numCache>
            </c:numRef>
          </c:val>
          <c:extLst>
            <c:ext xmlns:c16="http://schemas.microsoft.com/office/drawing/2014/chart" uri="{C3380CC4-5D6E-409C-BE32-E72D297353CC}">
              <c16:uniqueId val="{00000001-57D5-4088-9AEE-2684A6A105D2}"/>
            </c:ext>
          </c:extLst>
        </c:ser>
        <c:dLbls>
          <c:showLegendKey val="0"/>
          <c:showVal val="0"/>
          <c:showCatName val="0"/>
          <c:showSerName val="0"/>
          <c:showPercent val="0"/>
          <c:showBubbleSize val="0"/>
        </c:dLbls>
        <c:gapWidth val="60"/>
        <c:overlap val="-6"/>
        <c:axId val="702170272"/>
        <c:axId val="702193560"/>
      </c:barChart>
      <c:catAx>
        <c:axId val="70217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193560"/>
        <c:crosses val="autoZero"/>
        <c:auto val="1"/>
        <c:lblAlgn val="ctr"/>
        <c:lblOffset val="100"/>
        <c:noMultiLvlLbl val="0"/>
      </c:catAx>
      <c:valAx>
        <c:axId val="702193560"/>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170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'ROI&amp;Efficiency Calculations'!$J$36</c:f>
              <c:strCache>
                <c:ptCount val="1"/>
                <c:pt idx="0">
                  <c:v>Credit Hour Completion Rate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tx1"/>
                </a:solidFill>
                <a:ln w="19050">
                  <a:solidFill>
                    <a:schemeClr val="tx1"/>
                  </a:solidFill>
                </a:ln>
                <a:effectLst/>
              </c:spPr>
            </c:marker>
            <c:bubble3D val="0"/>
            <c:extLst>
              <c:ext xmlns:c16="http://schemas.microsoft.com/office/drawing/2014/chart" uri="{C3380CC4-5D6E-409C-BE32-E72D297353CC}">
                <c16:uniqueId val="{00000000-25AF-40AD-9236-87E21F815F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Calculations'!$K$35:$N$35</c:f>
              <c:strCache>
                <c:ptCount val="4"/>
                <c:pt idx="0">
                  <c:v>Year 0
(Base Year)</c:v>
                </c:pt>
                <c:pt idx="1">
                  <c:v>Year 1</c:v>
                </c:pt>
                <c:pt idx="2">
                  <c:v>Year 2</c:v>
                </c:pt>
                <c:pt idx="3">
                  <c:v>Year 3</c:v>
                </c:pt>
              </c:strCache>
            </c:strRef>
          </c:cat>
          <c:val>
            <c:numRef>
              <c:f>'ROI&amp;Efficiency Calculations'!$K$36:$N$36</c:f>
              <c:numCache>
                <c:formatCode>0.0%</c:formatCode>
                <c:ptCount val="4"/>
                <c:pt idx="0">
                  <c:v>0.65</c:v>
                </c:pt>
                <c:pt idx="1">
                  <c:v>0.65449999999999997</c:v>
                </c:pt>
                <c:pt idx="2">
                  <c:v>0.65899999999999992</c:v>
                </c:pt>
                <c:pt idx="3">
                  <c:v>0.66349999999999987</c:v>
                </c:pt>
              </c:numCache>
            </c:numRef>
          </c:val>
          <c:smooth val="0"/>
          <c:extLst>
            <c:ext xmlns:c16="http://schemas.microsoft.com/office/drawing/2014/chart" uri="{C3380CC4-5D6E-409C-BE32-E72D297353CC}">
              <c16:uniqueId val="{00000001-25AF-40AD-9236-87E21F815F1D}"/>
            </c:ext>
          </c:extLst>
        </c:ser>
        <c:dLbls>
          <c:showLegendKey val="0"/>
          <c:showVal val="0"/>
          <c:showCatName val="0"/>
          <c:showSerName val="0"/>
          <c:showPercent val="0"/>
          <c:showBubbleSize val="0"/>
        </c:dLbls>
        <c:marker val="1"/>
        <c:smooth val="0"/>
        <c:axId val="538603232"/>
        <c:axId val="538602904"/>
      </c:lineChart>
      <c:catAx>
        <c:axId val="53860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602904"/>
        <c:crosses val="autoZero"/>
        <c:auto val="1"/>
        <c:lblAlgn val="ctr"/>
        <c:lblOffset val="100"/>
        <c:noMultiLvlLbl val="0"/>
      </c:catAx>
      <c:valAx>
        <c:axId val="538602904"/>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38603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Projected</a:t>
            </a:r>
            <a:r>
              <a:rPr lang="en-US" baseline="0"/>
              <a:t> </a:t>
            </a:r>
            <a:r>
              <a:rPr lang="en-US"/>
              <a:t>Reduction</a:t>
            </a:r>
            <a:r>
              <a:rPr lang="en-US" baseline="0"/>
              <a:t> in Unproductive Credits and Institutional Resources Used More "Efficiently"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34112481222866"/>
          <c:y val="0.22382154882154881"/>
          <c:w val="0.81578001452648607"/>
          <c:h val="0.48247297775599657"/>
        </c:manualLayout>
      </c:layout>
      <c:barChart>
        <c:barDir val="col"/>
        <c:grouping val="clustered"/>
        <c:varyColors val="0"/>
        <c:ser>
          <c:idx val="0"/>
          <c:order val="0"/>
          <c:tx>
            <c:strRef>
              <c:f>'ROI&amp;Efficiency Calculations'!$J$37</c:f>
              <c:strCache>
                <c:ptCount val="1"/>
                <c:pt idx="0">
                  <c:v>Projected Resources Used in More Efficient Credit Production</c:v>
                </c:pt>
              </c:strCache>
            </c:strRef>
          </c:tx>
          <c:spPr>
            <a:pattFill prst="pct90">
              <a:fgClr>
                <a:srgbClr val="9999FF"/>
              </a:fgClr>
              <a:bgClr>
                <a:schemeClr val="bg1"/>
              </a:bgClr>
            </a:pattFill>
            <a:ln>
              <a:solidFill>
                <a:srgbClr val="99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Calculations'!$K$35:$N$35</c15:sqref>
                  </c15:fullRef>
                </c:ext>
              </c:extLst>
              <c:f>'ROI&amp;Efficiency Calculations'!$L$35:$N$35</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Calculations'!$K$37:$N$37</c15:sqref>
                  </c15:fullRef>
                </c:ext>
              </c:extLst>
              <c:f>'ROI&amp;Efficiency Calculations'!$L$37:$N$37</c:f>
              <c:numCache>
                <c:formatCode>_("$"* #,##0_);_("$"* \(#,##0\);_("$"* "-"??_);_(@_)</c:formatCode>
                <c:ptCount val="3"/>
                <c:pt idx="0">
                  <c:v>111662.8041497963</c:v>
                </c:pt>
                <c:pt idx="1">
                  <c:v>224979.87206477477</c:v>
                </c:pt>
                <c:pt idx="2">
                  <c:v>385236.67431679723</c:v>
                </c:pt>
              </c:numCache>
            </c:numRef>
          </c:val>
          <c:extLst>
            <c:ext xmlns:c16="http://schemas.microsoft.com/office/drawing/2014/chart" uri="{C3380CC4-5D6E-409C-BE32-E72D297353CC}">
              <c16:uniqueId val="{00000000-4890-42A4-8FBC-8B4317B07BEE}"/>
            </c:ext>
          </c:extLst>
        </c:ser>
        <c:dLbls>
          <c:showLegendKey val="0"/>
          <c:showVal val="0"/>
          <c:showCatName val="0"/>
          <c:showSerName val="0"/>
          <c:showPercent val="0"/>
          <c:showBubbleSize val="0"/>
        </c:dLbls>
        <c:gapWidth val="219"/>
        <c:overlap val="-27"/>
        <c:axId val="416612472"/>
        <c:axId val="416611816"/>
      </c:barChart>
      <c:lineChart>
        <c:grouping val="standard"/>
        <c:varyColors val="0"/>
        <c:ser>
          <c:idx val="1"/>
          <c:order val="1"/>
          <c:tx>
            <c:strRef>
              <c:f>'ROI&amp;Efficiency Calculations'!$J$38</c:f>
              <c:strCache>
                <c:ptCount val="1"/>
                <c:pt idx="0">
                  <c:v>Projected Change in "Unproductive" Credit Hours</c:v>
                </c:pt>
              </c:strCache>
            </c:strRef>
          </c:tx>
          <c:spPr>
            <a:ln w="28575" cap="rnd">
              <a:solidFill>
                <a:schemeClr val="tx1">
                  <a:lumMod val="75000"/>
                  <a:lumOff val="25000"/>
                </a:schemeClr>
              </a:solidFill>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2</c:v>
              </c:pt>
              <c:pt idx="1">
                <c:v>3</c:v>
              </c:pt>
              <c:pt idx="2">
                <c:v>4</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'ROI&amp;Efficiency Calculations'!$K$38:$N$38</c15:sqref>
                  </c15:fullRef>
                </c:ext>
              </c:extLst>
              <c:f>'ROI&amp;Efficiency Calculations'!$L$38:$N$38</c:f>
              <c:numCache>
                <c:formatCode>#,##0</c:formatCode>
                <c:ptCount val="3"/>
                <c:pt idx="0">
                  <c:v>-242.99999999999721</c:v>
                </c:pt>
                <c:pt idx="1">
                  <c:v>-489.5999999999944</c:v>
                </c:pt>
                <c:pt idx="2">
                  <c:v>-838.34999999999036</c:v>
                </c:pt>
              </c:numCache>
            </c:numRef>
          </c:val>
          <c:smooth val="0"/>
          <c:extLst>
            <c:ext xmlns:c16="http://schemas.microsoft.com/office/drawing/2014/chart" uri="{C3380CC4-5D6E-409C-BE32-E72D297353CC}">
              <c16:uniqueId val="{00000001-4890-42A4-8FBC-8B4317B07BEE}"/>
            </c:ext>
          </c:extLst>
        </c:ser>
        <c:dLbls>
          <c:showLegendKey val="0"/>
          <c:showVal val="0"/>
          <c:showCatName val="0"/>
          <c:showSerName val="0"/>
          <c:showPercent val="0"/>
          <c:showBubbleSize val="0"/>
        </c:dLbls>
        <c:marker val="1"/>
        <c:smooth val="0"/>
        <c:axId val="490920576"/>
        <c:axId val="490920248"/>
      </c:lineChart>
      <c:catAx>
        <c:axId val="416612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611816"/>
        <c:crosses val="autoZero"/>
        <c:auto val="1"/>
        <c:lblAlgn val="ctr"/>
        <c:lblOffset val="100"/>
        <c:noMultiLvlLbl val="0"/>
      </c:catAx>
      <c:valAx>
        <c:axId val="416611816"/>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16612472"/>
        <c:crosses val="autoZero"/>
        <c:crossBetween val="between"/>
      </c:valAx>
      <c:valAx>
        <c:axId val="490920248"/>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90920576"/>
        <c:crosses val="max"/>
        <c:crossBetween val="between"/>
      </c:valAx>
      <c:catAx>
        <c:axId val="490920576"/>
        <c:scaling>
          <c:orientation val="minMax"/>
        </c:scaling>
        <c:delete val="1"/>
        <c:axPos val="b"/>
        <c:majorTickMark val="out"/>
        <c:minorTickMark val="none"/>
        <c:tickLblPos val="nextTo"/>
        <c:crossAx val="490920248"/>
        <c:crosses val="autoZero"/>
        <c:auto val="1"/>
        <c:lblAlgn val="ctr"/>
        <c:lblOffset val="100"/>
        <c:noMultiLvlLbl val="0"/>
      </c:catAx>
      <c:spPr>
        <a:noFill/>
        <a:ln>
          <a:noFill/>
        </a:ln>
        <a:effectLst/>
      </c:spPr>
    </c:plotArea>
    <c:legend>
      <c:legendPos val="b"/>
      <c:layout>
        <c:manualLayout>
          <c:xMode val="edge"/>
          <c:yMode val="edge"/>
          <c:x val="0.17178761604786247"/>
          <c:y val="0.7907654095475708"/>
          <c:w val="0.6880926030669593"/>
          <c:h val="0.1188613654308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55297157622739E-2"/>
          <c:y val="0.25190072258875273"/>
          <c:w val="0.92894056847545214"/>
          <c:h val="0.55206869169629014"/>
        </c:manualLayout>
      </c:layout>
      <c:lineChart>
        <c:grouping val="standard"/>
        <c:varyColors val="0"/>
        <c:ser>
          <c:idx val="0"/>
          <c:order val="0"/>
          <c:tx>
            <c:strRef>
              <c:f>'ROI&amp;Efficiency Calculations'!$J$54</c:f>
              <c:strCache>
                <c:ptCount val="1"/>
                <c:pt idx="0">
                  <c:v>Faculty Throughput (SCH/FTE Faculty)</c:v>
                </c:pt>
              </c:strCache>
            </c:strRef>
          </c:tx>
          <c:spPr>
            <a:ln w="28575" cap="rnd">
              <a:solidFill>
                <a:schemeClr val="accent1">
                  <a:lumMod val="60000"/>
                  <a:lumOff val="40000"/>
                </a:schemeClr>
              </a:solidFill>
              <a:round/>
            </a:ln>
            <a:effectLst/>
          </c:spPr>
          <c:marker>
            <c:symbol val="circle"/>
            <c:size val="5"/>
            <c:spPr>
              <a:solidFill>
                <a:schemeClr val="accent1">
                  <a:lumMod val="60000"/>
                  <a:lumOff val="40000"/>
                </a:schemeClr>
              </a:solidFill>
              <a:ln w="9525">
                <a:solidFill>
                  <a:schemeClr val="accent1">
                    <a:lumMod val="60000"/>
                    <a:lumOff val="40000"/>
                  </a:schemeClr>
                </a:solidFill>
              </a:ln>
              <a:effectLst/>
            </c:spPr>
          </c:marker>
          <c:dPt>
            <c:idx val="0"/>
            <c:marker>
              <c:symbol val="circle"/>
              <c:size val="5"/>
              <c:spPr>
                <a:solidFill>
                  <a:schemeClr val="tx1"/>
                </a:solidFill>
                <a:ln w="19050">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0-65CB-4CDC-81AF-CDFDFE956B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Calculations'!$K$53:$N$53</c:f>
              <c:strCache>
                <c:ptCount val="4"/>
                <c:pt idx="0">
                  <c:v>Year 0
(Base Year)</c:v>
                </c:pt>
                <c:pt idx="1">
                  <c:v>Year 1</c:v>
                </c:pt>
                <c:pt idx="2">
                  <c:v>Year 2</c:v>
                </c:pt>
                <c:pt idx="3">
                  <c:v>Year 3</c:v>
                </c:pt>
              </c:strCache>
            </c:strRef>
          </c:cat>
          <c:val>
            <c:numRef>
              <c:f>'ROI&amp;Efficiency Calculations'!$K$54:$N$54</c:f>
              <c:numCache>
                <c:formatCode>0</c:formatCode>
                <c:ptCount val="4"/>
                <c:pt idx="0">
                  <c:v>672.10884353741494</c:v>
                </c:pt>
                <c:pt idx="1">
                  <c:v>690.25578231292513</c:v>
                </c:pt>
                <c:pt idx="2">
                  <c:v>708.892688435374</c:v>
                </c:pt>
                <c:pt idx="3">
                  <c:v>728.03279102312899</c:v>
                </c:pt>
              </c:numCache>
            </c:numRef>
          </c:val>
          <c:smooth val="0"/>
          <c:extLst>
            <c:ext xmlns:c16="http://schemas.microsoft.com/office/drawing/2014/chart" uri="{C3380CC4-5D6E-409C-BE32-E72D297353CC}">
              <c16:uniqueId val="{00000001-65CB-4CDC-81AF-CDFDFE956BF9}"/>
            </c:ext>
          </c:extLst>
        </c:ser>
        <c:dLbls>
          <c:showLegendKey val="0"/>
          <c:showVal val="0"/>
          <c:showCatName val="0"/>
          <c:showSerName val="0"/>
          <c:showPercent val="0"/>
          <c:showBubbleSize val="0"/>
        </c:dLbls>
        <c:marker val="1"/>
        <c:smooth val="0"/>
        <c:axId val="581233640"/>
        <c:axId val="581229048"/>
      </c:lineChart>
      <c:catAx>
        <c:axId val="581233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229048"/>
        <c:crosses val="autoZero"/>
        <c:auto val="1"/>
        <c:lblAlgn val="ctr"/>
        <c:lblOffset val="100"/>
        <c:noMultiLvlLbl val="0"/>
      </c:catAx>
      <c:valAx>
        <c:axId val="58122904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81233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Potential</a:t>
            </a:r>
            <a:r>
              <a:rPr lang="en-US" baseline="0"/>
              <a:t> Impact of Academic Efficiency on Hiring and Compensation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145208559956621"/>
          <c:y val="0.24409481854415774"/>
          <c:w val="0.8300240095938578"/>
          <c:h val="0.51829356677847305"/>
        </c:manualLayout>
      </c:layout>
      <c:barChart>
        <c:barDir val="col"/>
        <c:grouping val="clustered"/>
        <c:varyColors val="0"/>
        <c:ser>
          <c:idx val="1"/>
          <c:order val="0"/>
          <c:tx>
            <c:strRef>
              <c:f>'ROI&amp;Efficiency Calculations'!$J$55</c:f>
              <c:strCache>
                <c:ptCount val="1"/>
                <c:pt idx="0">
                  <c:v>Projected Faculty Compensation Savings (Expense)</c:v>
                </c:pt>
              </c:strCache>
            </c:strRef>
          </c:tx>
          <c:spPr>
            <a:pattFill prst="pct90">
              <a:fgClr>
                <a:schemeClr val="accent1">
                  <a:lumMod val="60000"/>
                  <a:lumOff val="40000"/>
                </a:schemeClr>
              </a:fgClr>
              <a:bgClr>
                <a:schemeClr val="tx1">
                  <a:lumMod val="65000"/>
                  <a:lumOff val="35000"/>
                </a:schemeClr>
              </a:bgClr>
            </a:patt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Calculations'!$K$53:$N$53</c15:sqref>
                  </c15:fullRef>
                </c:ext>
              </c:extLst>
              <c:f>'ROI&amp;Efficiency Calculations'!$L$53:$N$53</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Calculations'!$K$55:$N$55</c15:sqref>
                  </c15:fullRef>
                </c:ext>
              </c:extLst>
              <c:f>'ROI&amp;Efficiency Calculations'!$L$55:$N$55</c:f>
              <c:numCache>
                <c:formatCode>_("$"* #,##0_);_("$"* \(#,##0\);_("$"* "-"??_);_(@_)</c:formatCode>
                <c:ptCount val="3"/>
                <c:pt idx="0">
                  <c:v>173145.75</c:v>
                </c:pt>
                <c:pt idx="1">
                  <c:v>364560.48</c:v>
                </c:pt>
                <c:pt idx="2">
                  <c:v>534450.46</c:v>
                </c:pt>
              </c:numCache>
            </c:numRef>
          </c:val>
          <c:extLst>
            <c:ext xmlns:c16="http://schemas.microsoft.com/office/drawing/2014/chart" uri="{C3380CC4-5D6E-409C-BE32-E72D297353CC}">
              <c16:uniqueId val="{00000000-77AD-4FCF-81BA-E7223269A340}"/>
            </c:ext>
          </c:extLst>
        </c:ser>
        <c:dLbls>
          <c:showLegendKey val="0"/>
          <c:showVal val="0"/>
          <c:showCatName val="0"/>
          <c:showSerName val="0"/>
          <c:showPercent val="0"/>
          <c:showBubbleSize val="0"/>
        </c:dLbls>
        <c:gapWidth val="219"/>
        <c:axId val="404969968"/>
        <c:axId val="404970296"/>
      </c:barChart>
      <c:lineChart>
        <c:grouping val="standard"/>
        <c:varyColors val="0"/>
        <c:ser>
          <c:idx val="2"/>
          <c:order val="1"/>
          <c:tx>
            <c:strRef>
              <c:f>'ROI&amp;Efficiency Calculations'!$J$56</c:f>
              <c:strCache>
                <c:ptCount val="1"/>
                <c:pt idx="0">
                  <c:v>Projected Change in FTE Adjuncts</c:v>
                </c:pt>
              </c:strCache>
            </c:strRef>
          </c:tx>
          <c:spPr>
            <a:ln w="28575" cap="rnd">
              <a:solidFill>
                <a:schemeClr val="tx1">
                  <a:lumMod val="75000"/>
                  <a:lumOff val="25000"/>
                </a:schemeClr>
              </a:solidFill>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solidFill>
                <a:schemeClr val="bg2">
                  <a:lumMod val="9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Calculations'!$K$53:$N$53</c15:sqref>
                  </c15:fullRef>
                </c:ext>
              </c:extLst>
              <c:f>'ROI&amp;Efficiency Calculations'!$L$53:$N$53</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Calculations'!$K$56:$N$56</c15:sqref>
                  </c15:fullRef>
                </c:ext>
              </c:extLst>
              <c:f>'ROI&amp;Efficiency Calculations'!$L$56:$N$56</c:f>
              <c:numCache>
                <c:formatCode>#,##0.0</c:formatCode>
                <c:ptCount val="3"/>
                <c:pt idx="0">
                  <c:v>-6.5703180128434724</c:v>
                </c:pt>
                <c:pt idx="1">
                  <c:v>-13.56263163218739</c:v>
                </c:pt>
                <c:pt idx="2">
                  <c:v>-19.493133737638288</c:v>
                </c:pt>
              </c:numCache>
            </c:numRef>
          </c:val>
          <c:smooth val="0"/>
          <c:extLst>
            <c:ext xmlns:c16="http://schemas.microsoft.com/office/drawing/2014/chart" uri="{C3380CC4-5D6E-409C-BE32-E72D297353CC}">
              <c16:uniqueId val="{00000001-77AD-4FCF-81BA-E7223269A340}"/>
            </c:ext>
          </c:extLst>
        </c:ser>
        <c:dLbls>
          <c:showLegendKey val="0"/>
          <c:showVal val="0"/>
          <c:showCatName val="0"/>
          <c:showSerName val="0"/>
          <c:showPercent val="0"/>
          <c:showBubbleSize val="0"/>
        </c:dLbls>
        <c:marker val="1"/>
        <c:smooth val="0"/>
        <c:axId val="544641888"/>
        <c:axId val="544640904"/>
      </c:lineChart>
      <c:catAx>
        <c:axId val="4049699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970296"/>
        <c:crosses val="autoZero"/>
        <c:auto val="1"/>
        <c:lblAlgn val="ctr"/>
        <c:lblOffset val="100"/>
        <c:noMultiLvlLbl val="0"/>
      </c:catAx>
      <c:valAx>
        <c:axId val="404970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04969968"/>
        <c:crosses val="autoZero"/>
        <c:crossBetween val="between"/>
      </c:valAx>
      <c:valAx>
        <c:axId val="5446409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44641888"/>
        <c:crosses val="max"/>
        <c:crossBetween val="between"/>
        <c:majorUnit val="1"/>
      </c:valAx>
      <c:catAx>
        <c:axId val="544641888"/>
        <c:scaling>
          <c:orientation val="minMax"/>
        </c:scaling>
        <c:delete val="1"/>
        <c:axPos val="b"/>
        <c:numFmt formatCode="General" sourceLinked="1"/>
        <c:majorTickMark val="out"/>
        <c:minorTickMark val="none"/>
        <c:tickLblPos val="nextTo"/>
        <c:crossAx val="544640904"/>
        <c:crossesAt val="0"/>
        <c:auto val="1"/>
        <c:lblAlgn val="ctr"/>
        <c:lblOffset val="100"/>
        <c:noMultiLvlLbl val="0"/>
      </c:catAx>
      <c:spPr>
        <a:noFill/>
        <a:ln>
          <a:noFill/>
        </a:ln>
        <a:effectLst/>
      </c:spPr>
    </c:plotArea>
    <c:legend>
      <c:legendPos val="b"/>
      <c:layout>
        <c:manualLayout>
          <c:xMode val="edge"/>
          <c:yMode val="edge"/>
          <c:x val="1.3033333998649409E-2"/>
          <c:y val="0.85145974577951167"/>
          <c:w val="0.97129265091863515"/>
          <c:h val="6.7976306587054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Unit</a:t>
            </a:r>
            <a:r>
              <a:rPr lang="en-US" baseline="0"/>
              <a:t> Cost and Utilization Rate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Spending per Student</c:v>
          </c:tx>
          <c:spPr>
            <a:solidFill>
              <a:srgbClr val="9411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Data'!$E$11:$G$11</c:f>
              <c:strCache>
                <c:ptCount val="3"/>
                <c:pt idx="0">
                  <c:v>Year 1</c:v>
                </c:pt>
                <c:pt idx="1">
                  <c:v>Year 2</c:v>
                </c:pt>
                <c:pt idx="2">
                  <c:v>Year 3</c:v>
                </c:pt>
              </c:strCache>
            </c:strRef>
          </c:cat>
          <c:val>
            <c:numRef>
              <c:f>'Dashboard Data - Graph Data'!$E$77:$G$77</c:f>
              <c:numCache>
                <c:formatCode>"$"#,##0</c:formatCode>
                <c:ptCount val="3"/>
                <c:pt idx="0">
                  <c:v>80.643749999999997</c:v>
                </c:pt>
                <c:pt idx="1">
                  <c:v>90.069125</c:v>
                </c:pt>
                <c:pt idx="2">
                  <c:v>88.839340000000007</c:v>
                </c:pt>
              </c:numCache>
            </c:numRef>
          </c:val>
          <c:extLst>
            <c:ext xmlns:c16="http://schemas.microsoft.com/office/drawing/2014/chart" uri="{C3380CC4-5D6E-409C-BE32-E72D297353CC}">
              <c16:uniqueId val="{00000000-3558-4582-BAE8-260A373B4758}"/>
            </c:ext>
          </c:extLst>
        </c:ser>
        <c:dLbls>
          <c:showLegendKey val="0"/>
          <c:showVal val="0"/>
          <c:showCatName val="0"/>
          <c:showSerName val="0"/>
          <c:showPercent val="0"/>
          <c:showBubbleSize val="0"/>
        </c:dLbls>
        <c:gapWidth val="219"/>
        <c:overlap val="-27"/>
        <c:axId val="632255944"/>
        <c:axId val="632256272"/>
      </c:barChart>
      <c:lineChart>
        <c:grouping val="standard"/>
        <c:varyColors val="0"/>
        <c:ser>
          <c:idx val="1"/>
          <c:order val="1"/>
          <c:tx>
            <c:v>Student Utilization Rate (use/access)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Data'!$E$11:$G$11</c:f>
              <c:strCache>
                <c:ptCount val="3"/>
                <c:pt idx="0">
                  <c:v>Year 1</c:v>
                </c:pt>
                <c:pt idx="1">
                  <c:v>Year 2</c:v>
                </c:pt>
                <c:pt idx="2">
                  <c:v>Year 3</c:v>
                </c:pt>
              </c:strCache>
            </c:strRef>
          </c:cat>
          <c:val>
            <c:numRef>
              <c:f>'Dashboard Data - Graph Data'!$E$83:$G$83</c:f>
              <c:numCache>
                <c:formatCode>0%</c:formatCode>
                <c:ptCount val="3"/>
                <c:pt idx="0">
                  <c:v>0.4</c:v>
                </c:pt>
                <c:pt idx="1">
                  <c:v>0.39603960396039606</c:v>
                </c:pt>
                <c:pt idx="2">
                  <c:v>0.44113322223311441</c:v>
                </c:pt>
              </c:numCache>
            </c:numRef>
          </c:val>
          <c:smooth val="0"/>
          <c:extLst>
            <c:ext xmlns:c16="http://schemas.microsoft.com/office/drawing/2014/chart" uri="{C3380CC4-5D6E-409C-BE32-E72D297353CC}">
              <c16:uniqueId val="{00000001-3558-4582-BAE8-260A373B4758}"/>
            </c:ext>
          </c:extLst>
        </c:ser>
        <c:dLbls>
          <c:showLegendKey val="0"/>
          <c:showVal val="0"/>
          <c:showCatName val="0"/>
          <c:showSerName val="0"/>
          <c:showPercent val="0"/>
          <c:showBubbleSize val="0"/>
        </c:dLbls>
        <c:marker val="1"/>
        <c:smooth val="0"/>
        <c:axId val="632253648"/>
        <c:axId val="632254304"/>
      </c:lineChart>
      <c:catAx>
        <c:axId val="63225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256272"/>
        <c:crosses val="autoZero"/>
        <c:auto val="1"/>
        <c:lblAlgn val="ctr"/>
        <c:lblOffset val="100"/>
        <c:noMultiLvlLbl val="0"/>
      </c:catAx>
      <c:valAx>
        <c:axId val="632256272"/>
        <c:scaling>
          <c:orientation val="minMax"/>
          <c:min val="0"/>
        </c:scaling>
        <c:delete val="0"/>
        <c:axPos val="l"/>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255944"/>
        <c:crosses val="autoZero"/>
        <c:crossBetween val="between"/>
      </c:valAx>
      <c:valAx>
        <c:axId val="632254304"/>
        <c:scaling>
          <c:orientation val="minMax"/>
          <c:max val="1"/>
          <c:min val="0"/>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2253648"/>
        <c:crosses val="max"/>
        <c:crossBetween val="between"/>
        <c:majorUnit val="0.2"/>
      </c:valAx>
      <c:catAx>
        <c:axId val="632253648"/>
        <c:scaling>
          <c:orientation val="minMax"/>
        </c:scaling>
        <c:delete val="1"/>
        <c:axPos val="b"/>
        <c:numFmt formatCode="General" sourceLinked="1"/>
        <c:majorTickMark val="none"/>
        <c:minorTickMark val="none"/>
        <c:tickLblPos val="nextTo"/>
        <c:crossAx val="6322543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Spending (All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3952524741746726"/>
          <c:y val="0.31340217528362102"/>
          <c:w val="0.38890991837029543"/>
          <c:h val="0.54982054196082719"/>
        </c:manualLayout>
      </c:layout>
      <c:doughnutChart>
        <c:varyColors val="1"/>
        <c:ser>
          <c:idx val="0"/>
          <c:order val="0"/>
          <c:spPr>
            <a:ln>
              <a:solidFill>
                <a:schemeClr val="bg2">
                  <a:lumMod val="90000"/>
                </a:schemeClr>
              </a:solidFill>
            </a:ln>
            <a:effectLst>
              <a:outerShdw blurRad="50800" dist="38100" dir="8100000" algn="tr" rotWithShape="0">
                <a:prstClr val="black">
                  <a:alpha val="40000"/>
                </a:prstClr>
              </a:outerShdw>
            </a:effectLst>
          </c:spPr>
          <c:dPt>
            <c:idx val="0"/>
            <c:bubble3D val="0"/>
            <c:spPr>
              <a:solidFill>
                <a:schemeClr val="tx1"/>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FCFA-4F22-89AA-F376B813E957}"/>
              </c:ext>
            </c:extLst>
          </c:dPt>
          <c:dPt>
            <c:idx val="1"/>
            <c:bubble3D val="0"/>
            <c:spPr>
              <a:solidFill>
                <a:srgbClr val="941100"/>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FCFA-4F22-89AA-F376B813E957}"/>
              </c:ext>
            </c:extLst>
          </c:dPt>
          <c:dPt>
            <c:idx val="2"/>
            <c:bubble3D val="0"/>
            <c:spPr>
              <a:solidFill>
                <a:schemeClr val="accent1">
                  <a:lumMod val="75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FCFA-4F22-89AA-F376B813E957}"/>
              </c:ext>
            </c:extLst>
          </c:dPt>
          <c:dPt>
            <c:idx val="3"/>
            <c:bubble3D val="0"/>
            <c:spPr>
              <a:solidFill>
                <a:schemeClr val="accent1">
                  <a:lumMod val="40000"/>
                  <a:lumOff val="60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FCFA-4F22-89AA-F376B813E957}"/>
              </c:ext>
            </c:extLst>
          </c:dPt>
          <c:dPt>
            <c:idx val="4"/>
            <c:bubble3D val="0"/>
            <c:spPr>
              <a:solidFill>
                <a:schemeClr val="accent1">
                  <a:lumMod val="60000"/>
                  <a:lumOff val="40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FCFA-4F22-89AA-F376B813E957}"/>
              </c:ext>
            </c:extLst>
          </c:dPt>
          <c:dPt>
            <c:idx val="5"/>
            <c:bubble3D val="0"/>
            <c:spPr>
              <a:solidFill>
                <a:schemeClr val="bg1">
                  <a:lumMod val="75000"/>
                </a:schemeClr>
              </a:solidFill>
              <a:ln w="19050">
                <a:solidFill>
                  <a:schemeClr val="bg2">
                    <a:lumMod val="90000"/>
                  </a:schemeClr>
                </a:solid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FCFA-4F22-89AA-F376B813E957}"/>
              </c:ext>
            </c:extLst>
          </c:dPt>
          <c:dLbls>
            <c:dLbl>
              <c:idx val="0"/>
              <c:layout>
                <c:manualLayout>
                  <c:x val="0.17681211639885105"/>
                  <c:y val="-8.333333333333332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FCFA-4F22-89AA-F376B813E957}"/>
                </c:ext>
              </c:extLst>
            </c:dLbl>
            <c:dLbl>
              <c:idx val="1"/>
              <c:layout>
                <c:manualLayout>
                  <c:x val="0.39057004816462632"/>
                  <c:y val="9.7391888513935765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CFA-4F22-89AA-F376B813E957}"/>
                </c:ext>
              </c:extLst>
            </c:dLbl>
            <c:dLbl>
              <c:idx val="2"/>
              <c:layout>
                <c:manualLayout>
                  <c:x val="-0.22167489220154463"/>
                  <c:y val="0.293650793650793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CFA-4F22-89AA-F376B813E957}"/>
                </c:ext>
              </c:extLst>
            </c:dLbl>
            <c:dLbl>
              <c:idx val="3"/>
              <c:layout>
                <c:manualLayout>
                  <c:x val="-0.31931740424270116"/>
                  <c:y val="0.1230158730158730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CFA-4F22-89AA-F376B813E957}"/>
                </c:ext>
              </c:extLst>
            </c:dLbl>
            <c:dLbl>
              <c:idx val="4"/>
              <c:layout>
                <c:manualLayout>
                  <c:x val="-0.29292753612346967"/>
                  <c:y val="-9.523809523809523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FCFA-4F22-89AA-F376B813E957}"/>
                </c:ext>
              </c:extLst>
            </c:dLbl>
            <c:dLbl>
              <c:idx val="5"/>
              <c:delete val="1"/>
              <c:extLst>
                <c:ext xmlns:c15="http://schemas.microsoft.com/office/drawing/2012/chart" uri="{CE6537A1-D6FC-4f65-9D91-7224C49458BB}"/>
                <c:ext xmlns:c16="http://schemas.microsoft.com/office/drawing/2014/chart" uri="{C3380CC4-5D6E-409C-BE32-E72D297353CC}">
                  <c16:uniqueId val="{0000000B-FCFA-4F22-89AA-F376B813E95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('Dashboard Data - Graph Data'!$B$68:$B$69,'Dashboard Data - Graph Data'!$B$72:$B$75)</c:f>
              <c:strCache>
                <c:ptCount val="5"/>
                <c:pt idx="0">
                  <c:v>Existing personnel</c:v>
                </c:pt>
                <c:pt idx="1">
                  <c:v>New personnel</c:v>
                </c:pt>
                <c:pt idx="2">
                  <c:v>Technology</c:v>
                </c:pt>
                <c:pt idx="3">
                  <c:v>Academic or student support</c:v>
                </c:pt>
                <c:pt idx="4">
                  <c:v>General operating</c:v>
                </c:pt>
              </c:strCache>
            </c:strRef>
          </c:cat>
          <c:val>
            <c:numRef>
              <c:f>('Dashboard Data - Graph Data'!$J$68:$J$69,'Dashboard Data - Graph Data'!$J$72:$J$75)</c:f>
              <c:numCache>
                <c:formatCode>"$"#,##0</c:formatCode>
                <c:ptCount val="6"/>
                <c:pt idx="0">
                  <c:v>747041.45</c:v>
                </c:pt>
                <c:pt idx="1">
                  <c:v>95420</c:v>
                </c:pt>
                <c:pt idx="2">
                  <c:v>494592.96</c:v>
                </c:pt>
                <c:pt idx="3">
                  <c:v>41216.080000000002</c:v>
                </c:pt>
                <c:pt idx="4">
                  <c:v>20608.04</c:v>
                </c:pt>
                <c:pt idx="5" formatCode="General">
                  <c:v>0</c:v>
                </c:pt>
              </c:numCache>
            </c:numRef>
          </c:val>
          <c:extLst>
            <c:ext xmlns:c16="http://schemas.microsoft.com/office/drawing/2014/chart" uri="{C3380CC4-5D6E-409C-BE32-E72D297353CC}">
              <c16:uniqueId val="{0000000C-FCFA-4F22-89AA-F376B813E957}"/>
            </c:ext>
          </c:extLst>
        </c:ser>
        <c:dLbls>
          <c:showLegendKey val="0"/>
          <c:showVal val="0"/>
          <c:showCatName val="0"/>
          <c:showSerName val="0"/>
          <c:showPercent val="0"/>
          <c:showBubbleSize val="0"/>
          <c:showLeaderLines val="0"/>
        </c:dLbls>
        <c:firstSliceAng val="0"/>
        <c:holeSize val="66"/>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ROI: Projected Breakeven and Payback (Dollars)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56131726802195"/>
          <c:y val="0.14267361111111113"/>
          <c:w val="0.84048433656152333"/>
          <c:h val="0.58194909230096237"/>
        </c:manualLayout>
      </c:layout>
      <c:lineChart>
        <c:grouping val="standard"/>
        <c:varyColors val="0"/>
        <c:ser>
          <c:idx val="2"/>
          <c:order val="0"/>
          <c:tx>
            <c:strRef>
              <c:f>'Dashboard Data - Graph Data'!$B$47</c:f>
              <c:strCache>
                <c:ptCount val="1"/>
                <c:pt idx="0">
                  <c:v>Projected Annual ROI from Initiative (Breakeven) [Net Revenue from Initiative-Direct Expense]</c:v>
                </c:pt>
              </c:strCache>
            </c:strRef>
          </c:tx>
          <c:spPr>
            <a:ln w="28575" cap="rnd">
              <a:solidFill>
                <a:schemeClr val="tx1">
                  <a:lumMod val="75000"/>
                  <a:lumOff val="25000"/>
                </a:schemeClr>
              </a:solidFill>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Data'!$D$40:$G$40</c:f>
              <c:strCache>
                <c:ptCount val="4"/>
                <c:pt idx="0">
                  <c:v>Year 0
(Start-up)</c:v>
                </c:pt>
                <c:pt idx="1">
                  <c:v>Year 1</c:v>
                </c:pt>
                <c:pt idx="2">
                  <c:v>Year 2</c:v>
                </c:pt>
                <c:pt idx="3">
                  <c:v>Year 3</c:v>
                </c:pt>
              </c:strCache>
            </c:strRef>
          </c:cat>
          <c:val>
            <c:numRef>
              <c:f>'Dashboard Data - Graph Data'!$D$47:$G$47</c:f>
              <c:numCache>
                <c:formatCode>"$"#,##0</c:formatCode>
                <c:ptCount val="4"/>
                <c:pt idx="0">
                  <c:v>-316250</c:v>
                </c:pt>
                <c:pt idx="1">
                  <c:v>-202533.32000000041</c:v>
                </c:pt>
                <c:pt idx="2">
                  <c:v>-98585.637600000598</c:v>
                </c:pt>
                <c:pt idx="3">
                  <c:v>103497.71340000012</c:v>
                </c:pt>
              </c:numCache>
            </c:numRef>
          </c:val>
          <c:smooth val="0"/>
          <c:extLst>
            <c:ext xmlns:c16="http://schemas.microsoft.com/office/drawing/2014/chart" uri="{C3380CC4-5D6E-409C-BE32-E72D297353CC}">
              <c16:uniqueId val="{00000000-C603-4C76-B680-F07513FA9CA8}"/>
            </c:ext>
          </c:extLst>
        </c:ser>
        <c:ser>
          <c:idx val="0"/>
          <c:order val="1"/>
          <c:tx>
            <c:strRef>
              <c:f>'Dashboard Data - Graph Data'!$B$50:$C$50</c:f>
              <c:strCache>
                <c:ptCount val="2"/>
                <c:pt idx="0">
                  <c:v>Projected Cumulative ROI from Initiative (Payback Period)</c:v>
                </c:pt>
              </c:strCache>
            </c:strRef>
          </c:tx>
          <c:spPr>
            <a:ln w="28575" cap="rnd">
              <a:solidFill>
                <a:schemeClr val="tx1">
                  <a:lumMod val="75000"/>
                  <a:lumOff val="25000"/>
                </a:schemeClr>
              </a:solidFill>
              <a:prstDash val="sysDash"/>
              <a:round/>
            </a:ln>
            <a:effectLst/>
          </c:spPr>
          <c:marker>
            <c:symbol val="circle"/>
            <c:size val="5"/>
            <c:spPr>
              <a:solidFill>
                <a:schemeClr val="tx1">
                  <a:lumMod val="75000"/>
                  <a:lumOff val="25000"/>
                </a:schemeClr>
              </a:solidFill>
              <a:ln w="9525">
                <a:solidFill>
                  <a:schemeClr val="tx1">
                    <a:lumMod val="75000"/>
                    <a:lumOff val="2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Data'!$D$40:$G$40</c:f>
              <c:strCache>
                <c:ptCount val="4"/>
                <c:pt idx="0">
                  <c:v>Year 0
(Start-up)</c:v>
                </c:pt>
                <c:pt idx="1">
                  <c:v>Year 1</c:v>
                </c:pt>
                <c:pt idx="2">
                  <c:v>Year 2</c:v>
                </c:pt>
                <c:pt idx="3">
                  <c:v>Year 3</c:v>
                </c:pt>
              </c:strCache>
            </c:strRef>
          </c:cat>
          <c:val>
            <c:numRef>
              <c:f>'Dashboard Data - Graph Data'!$D$50:$G$50</c:f>
              <c:numCache>
                <c:formatCode>"$"#,##0</c:formatCode>
                <c:ptCount val="4"/>
                <c:pt idx="0">
                  <c:v>-316250</c:v>
                </c:pt>
                <c:pt idx="1">
                  <c:v>-518783.32000000041</c:v>
                </c:pt>
                <c:pt idx="2">
                  <c:v>-617368.95760000101</c:v>
                </c:pt>
                <c:pt idx="3">
                  <c:v>-513871.24420000089</c:v>
                </c:pt>
              </c:numCache>
            </c:numRef>
          </c:val>
          <c:smooth val="0"/>
          <c:extLst>
            <c:ext xmlns:c16="http://schemas.microsoft.com/office/drawing/2014/chart" uri="{C3380CC4-5D6E-409C-BE32-E72D297353CC}">
              <c16:uniqueId val="{00000001-C603-4C76-B680-F07513FA9CA8}"/>
            </c:ext>
          </c:extLst>
        </c:ser>
        <c:dLbls>
          <c:showLegendKey val="0"/>
          <c:showVal val="0"/>
          <c:showCatName val="0"/>
          <c:showSerName val="0"/>
          <c:showPercent val="0"/>
          <c:showBubbleSize val="0"/>
        </c:dLbls>
        <c:marker val="1"/>
        <c:smooth val="0"/>
        <c:axId val="757307456"/>
        <c:axId val="757307784"/>
      </c:lineChart>
      <c:catAx>
        <c:axId val="757307456"/>
        <c:scaling>
          <c:orientation val="minMax"/>
        </c:scaling>
        <c:delete val="0"/>
        <c:axPos val="b"/>
        <c:numFmt formatCode="General" sourceLinked="1"/>
        <c:majorTickMark val="none"/>
        <c:minorTickMark val="none"/>
        <c:tickLblPos val="low"/>
        <c:spPr>
          <a:noFill/>
          <a:ln w="222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784"/>
        <c:crosses val="autoZero"/>
        <c:auto val="1"/>
        <c:lblAlgn val="ctr"/>
        <c:lblOffset val="100"/>
        <c:noMultiLvlLbl val="0"/>
      </c:catAx>
      <c:valAx>
        <c:axId val="757307784"/>
        <c:scaling>
          <c:orientation val="minMax"/>
        </c:scaling>
        <c:delete val="0"/>
        <c:axPos val="l"/>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456"/>
        <c:crosses val="autoZero"/>
        <c:crossBetween val="between"/>
      </c:valAx>
      <c:spPr>
        <a:noFill/>
        <a:ln>
          <a:noFill/>
        </a:ln>
        <a:effectLst/>
      </c:spPr>
    </c:plotArea>
    <c:legend>
      <c:legendPos val="b"/>
      <c:layout>
        <c:manualLayout>
          <c:xMode val="edge"/>
          <c:yMode val="edge"/>
          <c:x val="1.1375037669331902E-2"/>
          <c:y val="0.85025918635170605"/>
          <c:w val="0.96454340367476588"/>
          <c:h val="0.12890748031496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Initiative</a:t>
            </a:r>
            <a:r>
              <a:rPr lang="en-US" baseline="0"/>
              <a:t> Expenditures, Funding, Projected Net Revenue and Net Impact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0901147554359935E-2"/>
          <c:y val="0.14267361111111113"/>
          <c:w val="0.89074313332519572"/>
          <c:h val="0.64942667322834646"/>
        </c:manualLayout>
      </c:layout>
      <c:barChart>
        <c:barDir val="col"/>
        <c:grouping val="stacked"/>
        <c:varyColors val="0"/>
        <c:ser>
          <c:idx val="0"/>
          <c:order val="0"/>
          <c:tx>
            <c:strRef>
              <c:f>'Dashboard Data - Graph Data'!$L$41</c:f>
              <c:strCache>
                <c:ptCount val="1"/>
                <c:pt idx="0">
                  <c:v>Initiative Direct Spending</c:v>
                </c:pt>
              </c:strCache>
            </c:strRef>
          </c:tx>
          <c:spPr>
            <a:solidFill>
              <a:srgbClr val="9411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Data'!$M$40:$X$40</c:f>
              <c:strCache>
                <c:ptCount val="11"/>
                <c:pt idx="1">
                  <c:v>Year 0
(Start-up)</c:v>
                </c:pt>
                <c:pt idx="4">
                  <c:v>Year 1</c:v>
                </c:pt>
                <c:pt idx="7">
                  <c:v>Year 2</c:v>
                </c:pt>
                <c:pt idx="10">
                  <c:v>Year 3</c:v>
                </c:pt>
              </c:strCache>
            </c:strRef>
          </c:cat>
          <c:val>
            <c:numRef>
              <c:f>'Dashboard Data - Graph Data'!$M$41:$X$41</c:f>
              <c:numCache>
                <c:formatCode>"$"#,##0_);\("$"#,##0\)</c:formatCode>
                <c:ptCount val="12"/>
                <c:pt idx="0">
                  <c:v>316250</c:v>
                </c:pt>
                <c:pt idx="3">
                  <c:v>322575</c:v>
                </c:pt>
                <c:pt idx="6">
                  <c:v>360276.5</c:v>
                </c:pt>
                <c:pt idx="9">
                  <c:v>399777.03</c:v>
                </c:pt>
              </c:numCache>
            </c:numRef>
          </c:val>
          <c:extLst>
            <c:ext xmlns:c16="http://schemas.microsoft.com/office/drawing/2014/chart" uri="{C3380CC4-5D6E-409C-BE32-E72D297353CC}">
              <c16:uniqueId val="{00000000-24C0-4D59-A5AF-3188B31C9C66}"/>
            </c:ext>
          </c:extLst>
        </c:ser>
        <c:ser>
          <c:idx val="1"/>
          <c:order val="1"/>
          <c:tx>
            <c:strRef>
              <c:f>'Dashboard Data - Graph Data'!$L$42</c:f>
              <c:strCache>
                <c:ptCount val="1"/>
                <c:pt idx="0">
                  <c:v>Initiative Direct Spending</c:v>
                </c:pt>
              </c:strCache>
            </c:strRef>
          </c:tx>
          <c:spPr>
            <a:solidFill>
              <a:schemeClr val="accent2"/>
            </a:solidFill>
            <a:ln>
              <a:noFill/>
            </a:ln>
            <a:effectLst/>
          </c:spPr>
          <c:invertIfNegative val="0"/>
          <c:cat>
            <c:strRef>
              <c:f>'Dashboard Data - Graph Data'!$M$40:$X$40</c:f>
              <c:strCache>
                <c:ptCount val="11"/>
                <c:pt idx="1">
                  <c:v>Year 0
(Start-up)</c:v>
                </c:pt>
                <c:pt idx="4">
                  <c:v>Year 1</c:v>
                </c:pt>
                <c:pt idx="7">
                  <c:v>Year 2</c:v>
                </c:pt>
                <c:pt idx="10">
                  <c:v>Year 3</c:v>
                </c:pt>
              </c:strCache>
            </c:strRef>
          </c:cat>
          <c:val>
            <c:numRef>
              <c:f>'Dashboard Data - Graph Data'!$M$42:$X$42</c:f>
              <c:numCache>
                <c:formatCode>"$"#,##0_);\("$"#,##0\)</c:formatCode>
                <c:ptCount val="12"/>
                <c:pt idx="0">
                  <c:v>0</c:v>
                </c:pt>
                <c:pt idx="3">
                  <c:v>0</c:v>
                </c:pt>
                <c:pt idx="6">
                  <c:v>0</c:v>
                </c:pt>
                <c:pt idx="9">
                  <c:v>0</c:v>
                </c:pt>
              </c:numCache>
            </c:numRef>
          </c:val>
          <c:extLst>
            <c:ext xmlns:c16="http://schemas.microsoft.com/office/drawing/2014/chart" uri="{C3380CC4-5D6E-409C-BE32-E72D297353CC}">
              <c16:uniqueId val="{00000001-24C0-4D59-A5AF-3188B31C9C66}"/>
            </c:ext>
          </c:extLst>
        </c:ser>
        <c:ser>
          <c:idx val="2"/>
          <c:order val="2"/>
          <c:tx>
            <c:strRef>
              <c:f>'Dashboard Data - Graph Data'!$L$44</c:f>
              <c:strCache>
                <c:ptCount val="1"/>
                <c:pt idx="0">
                  <c:v>Initiative Funding</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Data'!$M$40:$X$40</c:f>
              <c:strCache>
                <c:ptCount val="11"/>
                <c:pt idx="1">
                  <c:v>Year 0
(Start-up)</c:v>
                </c:pt>
                <c:pt idx="4">
                  <c:v>Year 1</c:v>
                </c:pt>
                <c:pt idx="7">
                  <c:v>Year 2</c:v>
                </c:pt>
                <c:pt idx="10">
                  <c:v>Year 3</c:v>
                </c:pt>
              </c:strCache>
            </c:strRef>
          </c:cat>
          <c:val>
            <c:numRef>
              <c:f>'Dashboard Data - Graph Data'!$M$44:$X$44</c:f>
              <c:numCache>
                <c:formatCode>"$"#,##0_);\("$"#,##0\)</c:formatCode>
                <c:ptCount val="12"/>
                <c:pt idx="1">
                  <c:v>258750</c:v>
                </c:pt>
                <c:pt idx="4">
                  <c:v>240125</c:v>
                </c:pt>
                <c:pt idx="7">
                  <c:v>221527.5</c:v>
                </c:pt>
                <c:pt idx="10">
                  <c:v>202958.05</c:v>
                </c:pt>
              </c:numCache>
            </c:numRef>
          </c:val>
          <c:extLst>
            <c:ext xmlns:c16="http://schemas.microsoft.com/office/drawing/2014/chart" uri="{C3380CC4-5D6E-409C-BE32-E72D297353CC}">
              <c16:uniqueId val="{00000002-24C0-4D59-A5AF-3188B31C9C66}"/>
            </c:ext>
          </c:extLst>
        </c:ser>
        <c:ser>
          <c:idx val="3"/>
          <c:order val="3"/>
          <c:tx>
            <c:strRef>
              <c:f>'Dashboard Data - Graph Data'!$L$43</c:f>
              <c:strCache>
                <c:ptCount val="1"/>
                <c:pt idx="0">
                  <c:v>Projected Net Revenue from Initiative</c:v>
                </c:pt>
              </c:strCache>
            </c:strRef>
          </c:tx>
          <c:spPr>
            <a:pattFill prst="pct50">
              <a:fgClr>
                <a:schemeClr val="accent6"/>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Data'!$M$40:$X$40</c:f>
              <c:strCache>
                <c:ptCount val="11"/>
                <c:pt idx="1">
                  <c:v>Year 0
(Start-up)</c:v>
                </c:pt>
                <c:pt idx="4">
                  <c:v>Year 1</c:v>
                </c:pt>
                <c:pt idx="7">
                  <c:v>Year 2</c:v>
                </c:pt>
                <c:pt idx="10">
                  <c:v>Year 3</c:v>
                </c:pt>
              </c:strCache>
            </c:strRef>
          </c:cat>
          <c:val>
            <c:numRef>
              <c:f>'Dashboard Data - Graph Data'!$M$43:$X$43</c:f>
              <c:numCache>
                <c:formatCode>"$"#,##0_);\("$"#,##0\)</c:formatCode>
                <c:ptCount val="12"/>
                <c:pt idx="4">
                  <c:v>120041.67999999957</c:v>
                </c:pt>
                <c:pt idx="7">
                  <c:v>261690.8623999994</c:v>
                </c:pt>
                <c:pt idx="10">
                  <c:v>503274.74340000015</c:v>
                </c:pt>
              </c:numCache>
            </c:numRef>
          </c:val>
          <c:extLst>
            <c:ext xmlns:c16="http://schemas.microsoft.com/office/drawing/2014/chart" uri="{C3380CC4-5D6E-409C-BE32-E72D297353CC}">
              <c16:uniqueId val="{00000003-24C0-4D59-A5AF-3188B31C9C66}"/>
            </c:ext>
          </c:extLst>
        </c:ser>
        <c:ser>
          <c:idx val="4"/>
          <c:order val="4"/>
          <c:tx>
            <c:strRef>
              <c:f>'Dashboard Data - Graph Data'!$L$45</c:f>
              <c:strCache>
                <c:ptCount val="1"/>
                <c:pt idx="0">
                  <c:v>Net Impact</c:v>
                </c:pt>
              </c:strCache>
            </c:strRef>
          </c:tx>
          <c:spPr>
            <a:pattFill prst="pct70">
              <a:fgClr>
                <a:schemeClr val="accent1"/>
              </a:fgClr>
              <a:bgClr>
                <a:schemeClr val="bg1"/>
              </a:bgClr>
            </a:pattFill>
            <a:ln>
              <a:noFill/>
            </a:ln>
            <a:effectLst/>
          </c:spPr>
          <c:invertIfNegative val="0"/>
          <c:dLbls>
            <c:dLbl>
              <c:idx val="2"/>
              <c:layout>
                <c:manualLayout>
                  <c:x val="-3.4870416638228797E-17"/>
                  <c:y val="0.12301649793775786"/>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24C0-4D59-A5AF-3188B31C9C66}"/>
                </c:ext>
              </c:extLst>
            </c:dLbl>
            <c:dLbl>
              <c:idx val="5"/>
              <c:layout>
                <c:manualLayout>
                  <c:x val="0"/>
                  <c:y val="0.10714379452568429"/>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24C0-4D59-A5AF-3188B31C9C66}"/>
                </c:ext>
              </c:extLst>
            </c:dLbl>
            <c:dLbl>
              <c:idx val="8"/>
              <c:layout>
                <c:manualLayout>
                  <c:x val="0"/>
                  <c:y val="0.10317491563554555"/>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24C0-4D59-A5AF-3188B31C9C66}"/>
                </c:ext>
              </c:extLst>
            </c:dLbl>
            <c:dLbl>
              <c:idx val="11"/>
              <c:layout>
                <c:manualLayout>
                  <c:x val="1.9020446980504042E-3"/>
                  <c:y val="-7.5396825396825393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24C0-4D59-A5AF-3188B31C9C6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'Dashboard Data - Graph Data'!$M$40:$X$40</c:f>
              <c:strCache>
                <c:ptCount val="11"/>
                <c:pt idx="1">
                  <c:v>Year 0
(Start-up)</c:v>
                </c:pt>
                <c:pt idx="4">
                  <c:v>Year 1</c:v>
                </c:pt>
                <c:pt idx="7">
                  <c:v>Year 2</c:v>
                </c:pt>
                <c:pt idx="10">
                  <c:v>Year 3</c:v>
                </c:pt>
              </c:strCache>
            </c:strRef>
          </c:cat>
          <c:val>
            <c:numRef>
              <c:f>'Dashboard Data - Graph Data'!$M$45:$X$45</c:f>
              <c:numCache>
                <c:formatCode>General</c:formatCode>
                <c:ptCount val="12"/>
                <c:pt idx="2" formatCode="&quot;$&quot;#,##0">
                  <c:v>-57500</c:v>
                </c:pt>
                <c:pt idx="5" formatCode="&quot;$&quot;#,##0">
                  <c:v>37591.679999999586</c:v>
                </c:pt>
                <c:pt idx="8" formatCode="&quot;$&quot;#,##0">
                  <c:v>122941.8623999994</c:v>
                </c:pt>
                <c:pt idx="11" formatCode="&quot;$&quot;#,##0">
                  <c:v>306455.76340000005</c:v>
                </c:pt>
              </c:numCache>
            </c:numRef>
          </c:val>
          <c:extLst>
            <c:ext xmlns:c16="http://schemas.microsoft.com/office/drawing/2014/chart" uri="{C3380CC4-5D6E-409C-BE32-E72D297353CC}">
              <c16:uniqueId val="{00000008-24C0-4D59-A5AF-3188B31C9C66}"/>
            </c:ext>
          </c:extLst>
        </c:ser>
        <c:dLbls>
          <c:showLegendKey val="0"/>
          <c:showVal val="0"/>
          <c:showCatName val="0"/>
          <c:showSerName val="0"/>
          <c:showPercent val="0"/>
          <c:showBubbleSize val="0"/>
        </c:dLbls>
        <c:gapWidth val="15"/>
        <c:overlap val="100"/>
        <c:axId val="653478728"/>
        <c:axId val="652344296"/>
      </c:barChart>
      <c:catAx>
        <c:axId val="65347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2344296"/>
        <c:crosses val="autoZero"/>
        <c:auto val="1"/>
        <c:lblAlgn val="ctr"/>
        <c:lblOffset val="100"/>
        <c:noMultiLvlLbl val="0"/>
      </c:catAx>
      <c:valAx>
        <c:axId val="652344296"/>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478728"/>
        <c:crosses val="autoZero"/>
        <c:crossBetween val="between"/>
      </c:valAx>
      <c:spPr>
        <a:noFill/>
        <a:ln>
          <a:noFill/>
        </a:ln>
        <a:effectLst/>
      </c:spPr>
    </c:plotArea>
    <c:legend>
      <c:legendPos val="b"/>
      <c:legendEntry>
        <c:idx val="1"/>
        <c:delete val="1"/>
      </c:legendEntry>
      <c:layout>
        <c:manualLayout>
          <c:xMode val="edge"/>
          <c:yMode val="edge"/>
          <c:x val="0.12591786807717073"/>
          <c:y val="0.85714238845144353"/>
          <c:w val="0.80235491441952322"/>
          <c:h val="6.696475440569929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ROI: Projected Breakeven</a:t>
            </a:r>
            <a:r>
              <a:rPr lang="en-US" baseline="0"/>
              <a:t> </a:t>
            </a:r>
            <a:r>
              <a:rPr lang="en-US"/>
              <a:t>(Percent)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156131726802195"/>
          <c:y val="0.14267361111111113"/>
          <c:w val="0.84048433656152333"/>
          <c:h val="0.58194909230096237"/>
        </c:manualLayout>
      </c:layout>
      <c:barChart>
        <c:barDir val="col"/>
        <c:grouping val="clustered"/>
        <c:varyColors val="0"/>
        <c:ser>
          <c:idx val="2"/>
          <c:order val="0"/>
          <c:tx>
            <c:strRef>
              <c:f>'Dashboard Data - Graph Data'!$B$48</c:f>
              <c:strCache>
                <c:ptCount val="1"/>
                <c:pt idx="0">
                  <c:v>Percent Return on Investment (Annual Breakeven)</c:v>
                </c:pt>
              </c:strCache>
            </c:strRef>
          </c:tx>
          <c:spPr>
            <a:solidFill>
              <a:srgbClr val="941100"/>
            </a:solidFill>
            <a:ln>
              <a:noFill/>
            </a:ln>
            <a:effectLst/>
          </c:spPr>
          <c:invertIfNegative val="1"/>
          <c:dPt>
            <c:idx val="1"/>
            <c:invertIfNegative val="1"/>
            <c:bubble3D val="0"/>
            <c:extLst>
              <c:ext xmlns:c16="http://schemas.microsoft.com/office/drawing/2014/chart" uri="{C3380CC4-5D6E-409C-BE32-E72D297353CC}">
                <c16:uniqueId val="{00000002-D8CE-4632-A4C2-1064889FA5F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 Data - Graph Data'!$D$40:$G$40</c:f>
              <c:strCache>
                <c:ptCount val="4"/>
                <c:pt idx="0">
                  <c:v>Year 0
(Start-up)</c:v>
                </c:pt>
                <c:pt idx="1">
                  <c:v>Year 1</c:v>
                </c:pt>
                <c:pt idx="2">
                  <c:v>Year 2</c:v>
                </c:pt>
                <c:pt idx="3">
                  <c:v>Year 3</c:v>
                </c:pt>
              </c:strCache>
            </c:strRef>
          </c:cat>
          <c:val>
            <c:numRef>
              <c:f>'Dashboard Data - Graph Data'!$D$48:$G$48</c:f>
              <c:numCache>
                <c:formatCode>0.0%</c:formatCode>
                <c:ptCount val="4"/>
                <c:pt idx="0">
                  <c:v>0</c:v>
                </c:pt>
                <c:pt idx="1">
                  <c:v>-0.62786427962489477</c:v>
                </c:pt>
                <c:pt idx="2">
                  <c:v>-0.27363882351471885</c:v>
                </c:pt>
                <c:pt idx="3">
                  <c:v>0.25888859447477541</c:v>
                </c:pt>
              </c:numCache>
            </c:numRef>
          </c:val>
          <c:extLst>
            <c:ext xmlns:c14="http://schemas.microsoft.com/office/drawing/2007/8/2/chart" uri="{6F2FDCE9-48DA-4B69-8628-5D25D57E5C99}">
              <c14:invertSolidFillFmt>
                <c14:spPr xmlns:c14="http://schemas.microsoft.com/office/drawing/2007/8/2/chart">
                  <a:solidFill>
                    <a:srgbClr val="767171"/>
                  </a:solidFill>
                  <a:ln>
                    <a:noFill/>
                  </a:ln>
                  <a:effectLst/>
                </c14:spPr>
              </c14:invertSolidFillFmt>
            </c:ext>
            <c:ext xmlns:c16="http://schemas.microsoft.com/office/drawing/2014/chart" uri="{C3380CC4-5D6E-409C-BE32-E72D297353CC}">
              <c16:uniqueId val="{00000000-D8CE-4632-A4C2-1064889FA5F9}"/>
            </c:ext>
          </c:extLst>
        </c:ser>
        <c:dLbls>
          <c:showLegendKey val="0"/>
          <c:showVal val="0"/>
          <c:showCatName val="0"/>
          <c:showSerName val="0"/>
          <c:showPercent val="0"/>
          <c:showBubbleSize val="0"/>
        </c:dLbls>
        <c:gapWidth val="150"/>
        <c:axId val="757307456"/>
        <c:axId val="757307784"/>
        <c:extLst>
          <c:ext xmlns:c15="http://schemas.microsoft.com/office/drawing/2012/chart" uri="{02D57815-91ED-43cb-92C2-25804820EDAC}">
            <c15:filteredBarSeries>
              <c15:ser>
                <c:idx val="0"/>
                <c:order val="1"/>
                <c:tx>
                  <c:strRef>
                    <c:extLst>
                      <c:ext uri="{02D57815-91ED-43cb-92C2-25804820EDAC}">
                        <c15:formulaRef>
                          <c15:sqref>'Dashboard Data - Graph Data'!$B$51:$C$51</c15:sqref>
                        </c15:formulaRef>
                      </c:ext>
                    </c:extLst>
                    <c:strCache>
                      <c:ptCount val="2"/>
                      <c:pt idx="0">
                        <c:v>Percent ROI (Cumulative Payback)</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'Dashboard Data - Graph Data'!$D$40:$G$40</c15:sqref>
                        </c15:formulaRef>
                      </c:ext>
                    </c:extLst>
                    <c:strCache>
                      <c:ptCount val="4"/>
                      <c:pt idx="0">
                        <c:v>Year 0
(Start-up)</c:v>
                      </c:pt>
                      <c:pt idx="1">
                        <c:v>Year 1</c:v>
                      </c:pt>
                      <c:pt idx="2">
                        <c:v>Year 2</c:v>
                      </c:pt>
                      <c:pt idx="3">
                        <c:v>Year 3</c:v>
                      </c:pt>
                    </c:strCache>
                  </c:strRef>
                </c:cat>
                <c:val>
                  <c:numRef>
                    <c:extLst>
                      <c:ext uri="{02D57815-91ED-43cb-92C2-25804820EDAC}">
                        <c15:formulaRef>
                          <c15:sqref>'Dashboard Data - Graph Data'!$D$51:$G$51</c15:sqref>
                        </c15:formulaRef>
                      </c:ext>
                    </c:extLst>
                    <c:numCache>
                      <c:formatCode>0.0%</c:formatCode>
                      <c:ptCount val="4"/>
                      <c:pt idx="0">
                        <c:v>0</c:v>
                      </c:pt>
                      <c:pt idx="1">
                        <c:v>-0.81208988377098645</c:v>
                      </c:pt>
                      <c:pt idx="2">
                        <c:v>-0.61792416245997128</c:v>
                      </c:pt>
                      <c:pt idx="3">
                        <c:v>-0.36734515054713213</c:v>
                      </c:pt>
                    </c:numCache>
                  </c:numRef>
                </c:val>
                <c:extLst>
                  <c:ext xmlns:c16="http://schemas.microsoft.com/office/drawing/2014/chart" uri="{C3380CC4-5D6E-409C-BE32-E72D297353CC}">
                    <c16:uniqueId val="{00000001-D8CE-4632-A4C2-1064889FA5F9}"/>
                  </c:ext>
                </c:extLst>
              </c15:ser>
            </c15:filteredBarSeries>
          </c:ext>
        </c:extLst>
      </c:barChart>
      <c:catAx>
        <c:axId val="757307456"/>
        <c:scaling>
          <c:orientation val="minMax"/>
        </c:scaling>
        <c:delete val="0"/>
        <c:axPos val="b"/>
        <c:numFmt formatCode="General" sourceLinked="1"/>
        <c:majorTickMark val="none"/>
        <c:minorTickMark val="none"/>
        <c:tickLblPos val="low"/>
        <c:spPr>
          <a:noFill/>
          <a:ln w="22225" cap="flat" cmpd="sng" algn="ctr">
            <a:solidFill>
              <a:srgbClr val="FF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784"/>
        <c:crosses val="autoZero"/>
        <c:auto val="1"/>
        <c:lblAlgn val="ctr"/>
        <c:lblOffset val="100"/>
        <c:noMultiLvlLbl val="0"/>
      </c:catAx>
      <c:valAx>
        <c:axId val="75730778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307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Projected Net Revenue from </a:t>
            </a:r>
          </a:p>
          <a:p>
            <a:pPr>
              <a:defRPr/>
            </a:pPr>
            <a:r>
              <a:rPr lang="en-US"/>
              <a:t>Retention and SCH Load Increase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9028854931154653E-2"/>
          <c:y val="0.17486769024332288"/>
          <c:w val="0.94194229013769071"/>
          <c:h val="0.58605807778860686"/>
        </c:manualLayout>
      </c:layout>
      <c:barChart>
        <c:barDir val="col"/>
        <c:grouping val="stacked"/>
        <c:varyColors val="0"/>
        <c:ser>
          <c:idx val="1"/>
          <c:order val="0"/>
          <c:tx>
            <c:strRef>
              <c:f>'ROI&amp;Efficiency Calculations'!$J$24</c:f>
              <c:strCache>
                <c:ptCount val="1"/>
                <c:pt idx="0">
                  <c:v>Projected Net Revenue from SCH Load</c:v>
                </c:pt>
              </c:strCache>
            </c:strRef>
          </c:tx>
          <c:spPr>
            <a:pattFill prst="pct90">
              <a:fgClr>
                <a:schemeClr val="accent6"/>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Year 1</c:v>
              </c:pt>
              <c:pt idx="1">
                <c:v>Year 2</c:v>
              </c:pt>
              <c:pt idx="2">
                <c:v>Year 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'ROI&amp;Efficiency Calculations'!$K$24:$N$24</c15:sqref>
                  </c15:fullRef>
                </c:ext>
              </c:extLst>
              <c:f>'ROI&amp;Efficiency Calculations'!$L$24:$N$24</c:f>
              <c:numCache>
                <c:formatCode>_("$"* #,##0_);_("$"* \(#,##0\);_("$"* "-"??_);_(@_)</c:formatCode>
                <c:ptCount val="3"/>
                <c:pt idx="0">
                  <c:v>120041.67999999957</c:v>
                </c:pt>
                <c:pt idx="1">
                  <c:v>180062.51999999935</c:v>
                </c:pt>
                <c:pt idx="2">
                  <c:v>337617.22499999998</c:v>
                </c:pt>
              </c:numCache>
            </c:numRef>
          </c:val>
          <c:extLst>
            <c:ext xmlns:c16="http://schemas.microsoft.com/office/drawing/2014/chart" uri="{C3380CC4-5D6E-409C-BE32-E72D297353CC}">
              <c16:uniqueId val="{00000000-8B8C-4FCA-ADE9-A6E36DC99835}"/>
            </c:ext>
          </c:extLst>
        </c:ser>
        <c:ser>
          <c:idx val="0"/>
          <c:order val="1"/>
          <c:tx>
            <c:strRef>
              <c:f>'ROI&amp;Efficiency Calculations'!$J$14</c:f>
              <c:strCache>
                <c:ptCount val="1"/>
                <c:pt idx="0">
                  <c:v>Projected Net Revenue from Retention</c:v>
                </c:pt>
              </c:strCache>
            </c:strRef>
          </c:tx>
          <c:spPr>
            <a:pattFill prst="pct90">
              <a:fgClr>
                <a:schemeClr val="accent6">
                  <a:lumMod val="60000"/>
                  <a:lumOff val="40000"/>
                </a:schemeClr>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'ROI&amp;Efficiency Calculations'!$K$12:$N$12</c15:sqref>
                  </c15:fullRef>
                </c:ext>
              </c:extLst>
              <c:f>'ROI&amp;Efficiency Calculations'!$L$12:$N$12</c:f>
              <c:strCache>
                <c:ptCount val="3"/>
                <c:pt idx="0">
                  <c:v>Year 1</c:v>
                </c:pt>
                <c:pt idx="1">
                  <c:v>Year 2</c:v>
                </c:pt>
                <c:pt idx="2">
                  <c:v>Year 3</c:v>
                </c:pt>
              </c:strCache>
            </c:strRef>
          </c:cat>
          <c:val>
            <c:numRef>
              <c:extLst>
                <c:ext xmlns:c15="http://schemas.microsoft.com/office/drawing/2012/chart" uri="{02D57815-91ED-43cb-92C2-25804820EDAC}">
                  <c15:fullRef>
                    <c15:sqref>'ROI&amp;Efficiency Calculations'!$K$14:$N$14</c15:sqref>
                  </c15:fullRef>
                </c:ext>
              </c:extLst>
              <c:f>'ROI&amp;Efficiency Calculations'!$L$14:$N$14</c:f>
              <c:numCache>
                <c:formatCode>_("$"* #,##0_);_("$"* \(#,##0\);_("$"* "-"??_);_(@_)</c:formatCode>
                <c:ptCount val="3"/>
                <c:pt idx="0">
                  <c:v>#N/A</c:v>
                </c:pt>
                <c:pt idx="1">
                  <c:v>81628.342400000067</c:v>
                </c:pt>
                <c:pt idx="2">
                  <c:v>165657.51840000018</c:v>
                </c:pt>
              </c:numCache>
            </c:numRef>
          </c:val>
          <c:extLst>
            <c:ext xmlns:c16="http://schemas.microsoft.com/office/drawing/2014/chart" uri="{C3380CC4-5D6E-409C-BE32-E72D297353CC}">
              <c16:uniqueId val="{00000001-8B8C-4FCA-ADE9-A6E36DC99835}"/>
            </c:ext>
          </c:extLst>
        </c:ser>
        <c:dLbls>
          <c:showLegendKey val="0"/>
          <c:showVal val="0"/>
          <c:showCatName val="0"/>
          <c:showSerName val="0"/>
          <c:showPercent val="0"/>
          <c:showBubbleSize val="0"/>
        </c:dLbls>
        <c:gapWidth val="219"/>
        <c:overlap val="100"/>
        <c:axId val="709091216"/>
        <c:axId val="709084984"/>
      </c:barChart>
      <c:catAx>
        <c:axId val="70909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084984"/>
        <c:crosses val="autoZero"/>
        <c:auto val="1"/>
        <c:lblAlgn val="ctr"/>
        <c:lblOffset val="100"/>
        <c:noMultiLvlLbl val="0"/>
      </c:catAx>
      <c:valAx>
        <c:axId val="709084984"/>
        <c:scaling>
          <c:orientation val="minMax"/>
        </c:scaling>
        <c:delete val="1"/>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crossAx val="709091216"/>
        <c:crosses val="autoZero"/>
        <c:crossBetween val="between"/>
      </c:valAx>
      <c:spPr>
        <a:noFill/>
        <a:ln>
          <a:noFill/>
        </a:ln>
        <a:effectLst/>
      </c:spPr>
    </c:plotArea>
    <c:legend>
      <c:legendPos val="b"/>
      <c:layout>
        <c:manualLayout>
          <c:xMode val="edge"/>
          <c:yMode val="edge"/>
          <c:x val="4.7361085916059857E-2"/>
          <c:y val="0.84548151856656917"/>
          <c:w val="0.89999985454403397"/>
          <c:h val="5.44649857238884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'ROI&amp;Efficiency Calculations'!$J$13</c:f>
              <c:strCache>
                <c:ptCount val="1"/>
                <c:pt idx="0">
                  <c:v>Retention Rate</c:v>
                </c:pt>
              </c:strCache>
            </c:strRef>
          </c:tx>
          <c:spPr>
            <a:ln w="28575" cap="rnd">
              <a:solidFill>
                <a:schemeClr val="accent6">
                  <a:lumMod val="60000"/>
                  <a:lumOff val="40000"/>
                </a:schemeClr>
              </a:solidFill>
              <a:round/>
            </a:ln>
            <a:effectLst/>
          </c:spPr>
          <c:marker>
            <c:symbol val="circle"/>
            <c:size val="5"/>
            <c:spPr>
              <a:solidFill>
                <a:schemeClr val="accent6">
                  <a:lumMod val="60000"/>
                  <a:lumOff val="40000"/>
                </a:schemeClr>
              </a:solidFill>
              <a:ln w="9525">
                <a:solidFill>
                  <a:schemeClr val="accent6">
                    <a:lumMod val="60000"/>
                    <a:lumOff val="40000"/>
                  </a:schemeClr>
                </a:solidFill>
              </a:ln>
              <a:effectLst/>
            </c:spPr>
          </c:marker>
          <c:dPt>
            <c:idx val="0"/>
            <c:marker>
              <c:symbol val="circle"/>
              <c:size val="5"/>
              <c:spPr>
                <a:solidFill>
                  <a:schemeClr val="tx1"/>
                </a:solidFill>
                <a:ln w="19050">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1-6D7E-4C06-A292-3FCCD77DF6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Calculations'!$K$12:$N$12</c:f>
              <c:strCache>
                <c:ptCount val="4"/>
                <c:pt idx="0">
                  <c:v>Year 0
(Base Year)</c:v>
                </c:pt>
                <c:pt idx="1">
                  <c:v>Year 1</c:v>
                </c:pt>
                <c:pt idx="2">
                  <c:v>Year 2</c:v>
                </c:pt>
                <c:pt idx="3">
                  <c:v>Year 3</c:v>
                </c:pt>
              </c:strCache>
            </c:strRef>
          </c:cat>
          <c:val>
            <c:numRef>
              <c:f>'ROI&amp;Efficiency Calculations'!$K$13:$N$13</c:f>
              <c:numCache>
                <c:formatCode>0.0%</c:formatCode>
                <c:ptCount val="4"/>
                <c:pt idx="0">
                  <c:v>0.61199999999999999</c:v>
                </c:pt>
                <c:pt idx="1">
                  <c:v>0.61199999999999999</c:v>
                </c:pt>
                <c:pt idx="2">
                  <c:v>0.622</c:v>
                </c:pt>
                <c:pt idx="3">
                  <c:v>0.63200000000000001</c:v>
                </c:pt>
              </c:numCache>
            </c:numRef>
          </c:val>
          <c:smooth val="0"/>
          <c:extLst>
            <c:ext xmlns:c16="http://schemas.microsoft.com/office/drawing/2014/chart" uri="{C3380CC4-5D6E-409C-BE32-E72D297353CC}">
              <c16:uniqueId val="{00000002-6D7E-4C06-A292-3FCCD77DF684}"/>
            </c:ext>
          </c:extLst>
        </c:ser>
        <c:dLbls>
          <c:dLblPos val="t"/>
          <c:showLegendKey val="0"/>
          <c:showVal val="1"/>
          <c:showCatName val="0"/>
          <c:showSerName val="0"/>
          <c:showPercent val="0"/>
          <c:showBubbleSize val="0"/>
        </c:dLbls>
        <c:marker val="1"/>
        <c:smooth val="0"/>
        <c:axId val="870190824"/>
        <c:axId val="870183936"/>
      </c:lineChart>
      <c:catAx>
        <c:axId val="87019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183936"/>
        <c:crosses val="autoZero"/>
        <c:auto val="1"/>
        <c:lblAlgn val="ctr"/>
        <c:lblOffset val="100"/>
        <c:noMultiLvlLbl val="0"/>
      </c:catAx>
      <c:valAx>
        <c:axId val="87018393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70190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'ROI&amp;Efficiency Calculations'!$J$23</c:f>
              <c:strCache>
                <c:ptCount val="1"/>
                <c:pt idx="0">
                  <c:v>Average SCH Load</c:v>
                </c:pt>
              </c:strCache>
            </c:strRef>
          </c:tx>
          <c:spPr>
            <a:ln w="28575" cap="rnd">
              <a:solidFill>
                <a:schemeClr val="accent6">
                  <a:lumMod val="75000"/>
                </a:schemeClr>
              </a:solidFill>
              <a:round/>
            </a:ln>
            <a:effectLst/>
          </c:spPr>
          <c:marker>
            <c:symbol val="circle"/>
            <c:size val="5"/>
            <c:spPr>
              <a:solidFill>
                <a:schemeClr val="accent6">
                  <a:lumMod val="75000"/>
                </a:schemeClr>
              </a:solidFill>
              <a:ln w="9525">
                <a:solidFill>
                  <a:schemeClr val="accent6">
                    <a:lumMod val="75000"/>
                  </a:schemeClr>
                </a:solidFill>
              </a:ln>
              <a:effectLst/>
            </c:spPr>
          </c:marker>
          <c:dPt>
            <c:idx val="0"/>
            <c:marker>
              <c:symbol val="circle"/>
              <c:size val="5"/>
              <c:spPr>
                <a:solidFill>
                  <a:schemeClr val="tx1"/>
                </a:solidFill>
                <a:ln w="19050">
                  <a:solidFill>
                    <a:schemeClr val="tx1"/>
                  </a:solidFill>
                </a:ln>
                <a:effectLst/>
              </c:spPr>
            </c:marker>
            <c:bubble3D val="0"/>
            <c:spPr>
              <a:ln w="28575" cap="rnd">
                <a:solidFill>
                  <a:schemeClr val="tx1"/>
                </a:solidFill>
                <a:round/>
              </a:ln>
              <a:effectLst/>
            </c:spPr>
            <c:extLst>
              <c:ext xmlns:c16="http://schemas.microsoft.com/office/drawing/2014/chart" uri="{C3380CC4-5D6E-409C-BE32-E72D297353CC}">
                <c16:uniqueId val="{00000000-76EE-4343-8076-F610DB9073F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'ROI&amp;Efficiency Calculations'!$K$22:$N$22</c:f>
              <c:strCache>
                <c:ptCount val="4"/>
                <c:pt idx="0">
                  <c:v>Year 0
(Base Year)</c:v>
                </c:pt>
                <c:pt idx="1">
                  <c:v>Year 1</c:v>
                </c:pt>
                <c:pt idx="2">
                  <c:v>Year 2</c:v>
                </c:pt>
                <c:pt idx="3">
                  <c:v>Year 3</c:v>
                </c:pt>
              </c:strCache>
            </c:strRef>
          </c:cat>
          <c:val>
            <c:numRef>
              <c:f>'ROI&amp;Efficiency Calculations'!$K$23:$N$23</c:f>
              <c:numCache>
                <c:formatCode>0.0</c:formatCode>
                <c:ptCount val="4"/>
                <c:pt idx="0">
                  <c:v>13.3</c:v>
                </c:pt>
                <c:pt idx="1">
                  <c:v>13.5</c:v>
                </c:pt>
                <c:pt idx="2">
                  <c:v>13.6</c:v>
                </c:pt>
                <c:pt idx="3">
                  <c:v>13.8</c:v>
                </c:pt>
              </c:numCache>
            </c:numRef>
          </c:val>
          <c:smooth val="0"/>
          <c:extLst>
            <c:ext xmlns:c16="http://schemas.microsoft.com/office/drawing/2014/chart" uri="{C3380CC4-5D6E-409C-BE32-E72D297353CC}">
              <c16:uniqueId val="{00000001-76EE-4343-8076-F610DB9073F2}"/>
            </c:ext>
          </c:extLst>
        </c:ser>
        <c:dLbls>
          <c:dLblPos val="t"/>
          <c:showLegendKey val="0"/>
          <c:showVal val="1"/>
          <c:showCatName val="0"/>
          <c:showSerName val="0"/>
          <c:showPercent val="0"/>
          <c:showBubbleSize val="0"/>
        </c:dLbls>
        <c:marker val="1"/>
        <c:smooth val="0"/>
        <c:axId val="870190824"/>
        <c:axId val="870183936"/>
      </c:lineChart>
      <c:catAx>
        <c:axId val="87019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183936"/>
        <c:crosses val="autoZero"/>
        <c:auto val="1"/>
        <c:lblAlgn val="ctr"/>
        <c:lblOffset val="100"/>
        <c:noMultiLvlLbl val="0"/>
      </c:catAx>
      <c:valAx>
        <c:axId val="870183936"/>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870190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ROI&amp;Efficiency Calculations'!$B$47" horiz="1" inc="10" max="500" page="10" val="45"/>
</file>

<file path=xl/ctrlProps/ctrlProp2.xml><?xml version="1.0" encoding="utf-8"?>
<formControlPr xmlns="http://schemas.microsoft.com/office/spreadsheetml/2009/9/main" objectType="Scroll" dx="22" fmlaLink="'ROI&amp;Efficiency Calculations'!$B$64" horiz="1" max="100" page="10" val="27"/>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46014</xdr:colOff>
      <xdr:row>20</xdr:row>
      <xdr:rowOff>85726</xdr:rowOff>
    </xdr:from>
    <xdr:to>
      <xdr:col>3</xdr:col>
      <xdr:colOff>463623</xdr:colOff>
      <xdr:row>23</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5614" y="5524501"/>
          <a:ext cx="1636809" cy="571499"/>
        </a:xfrm>
        <a:prstGeom prst="rect">
          <a:avLst/>
        </a:prstGeom>
        <a:noFill/>
        <a:ln w="9525">
          <a:noFill/>
          <a:miter lim="800000"/>
          <a:headEnd/>
          <a:tailEnd/>
        </a:ln>
        <a:effectLst/>
      </xdr:spPr>
    </xdr:pic>
    <xdr:clientData/>
  </xdr:twoCellAnchor>
  <xdr:twoCellAnchor editAs="oneCell">
    <xdr:from>
      <xdr:col>0</xdr:col>
      <xdr:colOff>114300</xdr:colOff>
      <xdr:row>0</xdr:row>
      <xdr:rowOff>0</xdr:rowOff>
    </xdr:from>
    <xdr:to>
      <xdr:col>6</xdr:col>
      <xdr:colOff>317500</xdr:colOff>
      <xdr:row>3</xdr:row>
      <xdr:rowOff>146113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0"/>
          <a:ext cx="3695700" cy="819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56918</xdr:colOff>
      <xdr:row>12</xdr:row>
      <xdr:rowOff>150806</xdr:rowOff>
    </xdr:from>
    <xdr:to>
      <xdr:col>14</xdr:col>
      <xdr:colOff>88688</xdr:colOff>
      <xdr:row>29</xdr:row>
      <xdr:rowOff>112706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76200</xdr:rowOff>
    </xdr:from>
    <xdr:to>
      <xdr:col>13</xdr:col>
      <xdr:colOff>596678</xdr:colOff>
      <xdr:row>12</xdr:row>
      <xdr:rowOff>144780</xdr:rowOff>
    </xdr:to>
    <xdr:sp macro="" textlink="">
      <xdr:nvSpPr>
        <xdr:cNvPr id="4" name="TextBox 1">
          <a:extLst>
            <a:ext uri="{FF2B5EF4-FFF2-40B4-BE49-F238E27FC236}">
              <a16:creationId xmlns:a16="http://schemas.microsoft.com/office/drawing/2014/main" id="{00000000-0008-0000-0200-000004000000}"/>
            </a:ext>
          </a:extLst>
        </xdr:cNvPr>
        <xdr:cNvSpPr txBox="1"/>
      </xdr:nvSpPr>
      <xdr:spPr>
        <a:xfrm>
          <a:off x="238125" y="1981200"/>
          <a:ext cx="6921278"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1:</a:t>
          </a:r>
        </a:p>
        <a:p>
          <a:r>
            <a:rPr lang="en-US" sz="1050" b="1" i="1">
              <a:solidFill>
                <a:schemeClr val="bg1"/>
              </a:solidFill>
            </a:rPr>
            <a:t>This</a:t>
          </a:r>
          <a:r>
            <a:rPr lang="en-US" sz="1050" b="1" i="1" baseline="0">
              <a:solidFill>
                <a:schemeClr val="bg1"/>
              </a:solidFill>
            </a:rPr>
            <a:t> graph shows whether the initiative has adequate financial planning and support.</a:t>
          </a:r>
          <a:endParaRPr lang="en-US" sz="1050" b="1" i="1">
            <a:solidFill>
              <a:schemeClr val="bg1"/>
            </a:solidFill>
          </a:endParaRPr>
        </a:p>
      </xdr:txBody>
    </xdr:sp>
    <xdr:clientData/>
  </xdr:twoCellAnchor>
  <xdr:twoCellAnchor>
    <xdr:from>
      <xdr:col>23</xdr:col>
      <xdr:colOff>114512</xdr:colOff>
      <xdr:row>9</xdr:row>
      <xdr:rowOff>85725</xdr:rowOff>
    </xdr:from>
    <xdr:to>
      <xdr:col>31</xdr:col>
      <xdr:colOff>352637</xdr:colOff>
      <xdr:row>29</xdr:row>
      <xdr:rowOff>112706</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12620837" y="1990725"/>
          <a:ext cx="4905375" cy="3836981"/>
          <a:chOff x="12925637" y="2190750"/>
          <a:chExt cx="4905375" cy="3836981"/>
        </a:xfrm>
      </xdr:grpSpPr>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13011150" y="2827331"/>
          <a:ext cx="4819862" cy="32004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200-000007000000}"/>
              </a:ext>
            </a:extLst>
          </xdr:cNvPr>
          <xdr:cNvSpPr txBox="1"/>
        </xdr:nvSpPr>
        <xdr:spPr>
          <a:xfrm>
            <a:off x="12925637" y="2190750"/>
            <a:ext cx="4533688"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3:</a:t>
            </a:r>
          </a:p>
          <a:p>
            <a:r>
              <a:rPr lang="en-US" sz="1050" b="1" i="1">
                <a:solidFill>
                  <a:schemeClr val="bg1"/>
                </a:solidFill>
              </a:rPr>
              <a:t>This</a:t>
            </a:r>
            <a:r>
              <a:rPr lang="en-US" sz="1050" b="1" i="1" baseline="0">
                <a:solidFill>
                  <a:schemeClr val="bg1"/>
                </a:solidFill>
              </a:rPr>
              <a:t> graph shows whether the initiative has capacity to serve additional students, and how expanding access lowers the cost per student served. </a:t>
            </a:r>
            <a:endParaRPr lang="en-US" sz="1050" b="1" i="1">
              <a:solidFill>
                <a:schemeClr val="bg1"/>
              </a:solidFill>
            </a:endParaRPr>
          </a:p>
        </xdr:txBody>
      </xdr:sp>
    </xdr:grpSp>
    <xdr:clientData/>
  </xdr:twoCellAnchor>
  <xdr:twoCellAnchor>
    <xdr:from>
      <xdr:col>14</xdr:col>
      <xdr:colOff>409575</xdr:colOff>
      <xdr:row>9</xdr:row>
      <xdr:rowOff>85725</xdr:rowOff>
    </xdr:from>
    <xdr:to>
      <xdr:col>22</xdr:col>
      <xdr:colOff>407673</xdr:colOff>
      <xdr:row>29</xdr:row>
      <xdr:rowOff>112706</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7429500" y="1990725"/>
          <a:ext cx="4874898" cy="3836981"/>
          <a:chOff x="7705725" y="2190750"/>
          <a:chExt cx="4874898" cy="3836981"/>
        </a:xfrm>
      </xdr:grpSpPr>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7768170" y="2827331"/>
          <a:ext cx="4812453" cy="320040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0" name="TextBox 1">
            <a:extLst>
              <a:ext uri="{FF2B5EF4-FFF2-40B4-BE49-F238E27FC236}">
                <a16:creationId xmlns:a16="http://schemas.microsoft.com/office/drawing/2014/main" id="{00000000-0008-0000-0200-00000A000000}"/>
              </a:ext>
            </a:extLst>
          </xdr:cNvPr>
          <xdr:cNvSpPr txBox="1"/>
        </xdr:nvSpPr>
        <xdr:spPr>
          <a:xfrm>
            <a:off x="7705725" y="2190750"/>
            <a:ext cx="4048125"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400" b="1" i="1">
                <a:solidFill>
                  <a:schemeClr val="bg1"/>
                </a:solidFill>
              </a:rPr>
              <a:t>FIGURE 2:</a:t>
            </a:r>
          </a:p>
          <a:p>
            <a:pPr algn="l"/>
            <a:r>
              <a:rPr lang="en-US" sz="1050" b="1" i="1">
                <a:solidFill>
                  <a:schemeClr val="bg1"/>
                </a:solidFill>
              </a:rPr>
              <a:t>This</a:t>
            </a:r>
            <a:r>
              <a:rPr lang="en-US" sz="1050" b="1" i="1" baseline="0">
                <a:solidFill>
                  <a:schemeClr val="bg1"/>
                </a:solidFill>
              </a:rPr>
              <a:t> graph shows the areas of spending that drive the overall cost of the initiative, and whether it requires new or reallocated resources. </a:t>
            </a:r>
            <a:endParaRPr lang="en-US" sz="1050" b="1" i="1">
              <a:solidFill>
                <a:schemeClr val="bg1"/>
              </a:solidFill>
            </a:endParaRPr>
          </a:p>
        </xdr:txBody>
      </xdr:sp>
    </xdr:grpSp>
    <xdr:clientData/>
  </xdr:twoCellAnchor>
  <xdr:twoCellAnchor>
    <xdr:from>
      <xdr:col>15</xdr:col>
      <xdr:colOff>403241</xdr:colOff>
      <xdr:row>39</xdr:row>
      <xdr:rowOff>142874</xdr:rowOff>
    </xdr:from>
    <xdr:to>
      <xdr:col>24</xdr:col>
      <xdr:colOff>400050</xdr:colOff>
      <xdr:row>58</xdr:row>
      <xdr:rowOff>171449</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342901</xdr:colOff>
      <xdr:row>34</xdr:row>
      <xdr:rowOff>142874</xdr:rowOff>
    </xdr:from>
    <xdr:to>
      <xdr:col>24</xdr:col>
      <xdr:colOff>285751</xdr:colOff>
      <xdr:row>39</xdr:row>
      <xdr:rowOff>142874</xdr:rowOff>
    </xdr:to>
    <xdr:sp macro="" textlink="">
      <xdr:nvSpPr>
        <xdr:cNvPr id="17" name="TextBox 1">
          <a:extLst>
            <a:ext uri="{FF2B5EF4-FFF2-40B4-BE49-F238E27FC236}">
              <a16:creationId xmlns:a16="http://schemas.microsoft.com/office/drawing/2014/main" id="{00000000-0008-0000-0200-000011000000}"/>
            </a:ext>
          </a:extLst>
        </xdr:cNvPr>
        <xdr:cNvSpPr txBox="1"/>
      </xdr:nvSpPr>
      <xdr:spPr>
        <a:xfrm>
          <a:off x="8124826" y="6867524"/>
          <a:ext cx="5429250" cy="962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5:</a:t>
          </a:r>
        </a:p>
        <a:p>
          <a:r>
            <a:rPr lang="en-US" sz="1050" b="1" i="1">
              <a:solidFill>
                <a:schemeClr val="bg1"/>
              </a:solidFill>
            </a:rPr>
            <a:t>This</a:t>
          </a:r>
          <a:r>
            <a:rPr lang="en-US" sz="1050" b="1" i="1" baseline="0">
              <a:solidFill>
                <a:schemeClr val="bg1"/>
              </a:solidFill>
            </a:rPr>
            <a:t> graph shows the year in which the projected net revenue is expected to exceed the annual cost of the initiative (breakeven point). It also shows when the total  net revenue generated is expected to recoup the full investment in the initiative (payback). These metrics exclude other sources of initiative funding.</a:t>
          </a:r>
          <a:endParaRPr lang="en-US" sz="1050" b="1" i="1">
            <a:solidFill>
              <a:schemeClr val="bg1"/>
            </a:solidFill>
          </a:endParaRPr>
        </a:p>
      </xdr:txBody>
    </xdr:sp>
    <xdr:clientData/>
  </xdr:twoCellAnchor>
  <xdr:twoCellAnchor>
    <xdr:from>
      <xdr:col>0</xdr:col>
      <xdr:colOff>238123</xdr:colOff>
      <xdr:row>36</xdr:row>
      <xdr:rowOff>76200</xdr:rowOff>
    </xdr:from>
    <xdr:to>
      <xdr:col>12</xdr:col>
      <xdr:colOff>85725</xdr:colOff>
      <xdr:row>39</xdr:row>
      <xdr:rowOff>144780</xdr:rowOff>
    </xdr:to>
    <xdr:sp macro="" textlink="">
      <xdr:nvSpPr>
        <xdr:cNvPr id="14" name="TextBox 1">
          <a:extLst>
            <a:ext uri="{FF2B5EF4-FFF2-40B4-BE49-F238E27FC236}">
              <a16:creationId xmlns:a16="http://schemas.microsoft.com/office/drawing/2014/main" id="{00000000-0008-0000-0200-00000E000000}"/>
            </a:ext>
          </a:extLst>
        </xdr:cNvPr>
        <xdr:cNvSpPr txBox="1"/>
      </xdr:nvSpPr>
      <xdr:spPr>
        <a:xfrm>
          <a:off x="238123" y="7181850"/>
          <a:ext cx="5800727" cy="640080"/>
        </a:xfrm>
        <a:prstGeom prst="rect">
          <a:avLst/>
        </a:prstGeom>
      </xdr:spPr>
      <xdr:txBody>
        <a:bodyPr wrap="square" rtlCol="0" anchor="b"/>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400" b="1" i="1">
              <a:solidFill>
                <a:schemeClr val="bg1"/>
              </a:solidFill>
            </a:rPr>
            <a:t>FIGURE 4:</a:t>
          </a:r>
        </a:p>
        <a:p>
          <a:pPr algn="l"/>
          <a:r>
            <a:rPr lang="en-US" sz="1050" b="1" i="1">
              <a:solidFill>
                <a:schemeClr val="bg1"/>
              </a:solidFill>
            </a:rPr>
            <a:t>This</a:t>
          </a:r>
          <a:r>
            <a:rPr lang="en-US" sz="1050" b="1" i="1" baseline="0">
              <a:solidFill>
                <a:schemeClr val="bg1"/>
              </a:solidFill>
            </a:rPr>
            <a:t> graph shows the projected net financial impact of the initiative; it shows the expected funding and potential net revenue generated by the initiative in comparison to the cost of the initiative. </a:t>
          </a:r>
          <a:endParaRPr lang="en-US" sz="1050" b="1" i="1">
            <a:solidFill>
              <a:schemeClr val="bg1"/>
            </a:solidFill>
          </a:endParaRPr>
        </a:p>
      </xdr:txBody>
    </xdr:sp>
    <xdr:clientData/>
  </xdr:twoCellAnchor>
  <xdr:twoCellAnchor>
    <xdr:from>
      <xdr:col>1</xdr:col>
      <xdr:colOff>56918</xdr:colOff>
      <xdr:row>39</xdr:row>
      <xdr:rowOff>142874</xdr:rowOff>
    </xdr:from>
    <xdr:to>
      <xdr:col>15</xdr:col>
      <xdr:colOff>47625</xdr:colOff>
      <xdr:row>58</xdr:row>
      <xdr:rowOff>171449</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123826</xdr:colOff>
      <xdr:row>39</xdr:row>
      <xdr:rowOff>142874</xdr:rowOff>
    </xdr:from>
    <xdr:to>
      <xdr:col>31</xdr:col>
      <xdr:colOff>600075</xdr:colOff>
      <xdr:row>58</xdr:row>
      <xdr:rowOff>171449</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47626</xdr:colOff>
      <xdr:row>35</xdr:row>
      <xdr:rowOff>114299</xdr:rowOff>
    </xdr:from>
    <xdr:to>
      <xdr:col>32</xdr:col>
      <xdr:colOff>9526</xdr:colOff>
      <xdr:row>39</xdr:row>
      <xdr:rowOff>142874</xdr:rowOff>
    </xdr:to>
    <xdr:sp macro="" textlink="">
      <xdr:nvSpPr>
        <xdr:cNvPr id="22" name="TextBox 1">
          <a:extLst>
            <a:ext uri="{FF2B5EF4-FFF2-40B4-BE49-F238E27FC236}">
              <a16:creationId xmlns:a16="http://schemas.microsoft.com/office/drawing/2014/main" id="{00000000-0008-0000-0200-000016000000}"/>
            </a:ext>
          </a:extLst>
        </xdr:cNvPr>
        <xdr:cNvSpPr txBox="1"/>
      </xdr:nvSpPr>
      <xdr:spPr>
        <a:xfrm>
          <a:off x="13925551" y="7038974"/>
          <a:ext cx="4019550" cy="7905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6:</a:t>
          </a:r>
        </a:p>
        <a:p>
          <a:r>
            <a:rPr lang="en-US" sz="1050" b="1" i="1">
              <a:solidFill>
                <a:schemeClr val="bg1"/>
              </a:solidFill>
            </a:rPr>
            <a:t>This</a:t>
          </a:r>
          <a:r>
            <a:rPr lang="en-US" sz="1050" b="1" i="1" baseline="0">
              <a:solidFill>
                <a:schemeClr val="bg1"/>
              </a:solidFill>
            </a:rPr>
            <a:t> graph shows the projected annual ROI (breakeven point) as a percentage. It shows the annual ROI from the initiative relative to the annual direct expenses for the initiative.  </a:t>
          </a:r>
          <a:endParaRPr lang="en-US" sz="1050" b="1" i="1">
            <a:solidFill>
              <a:schemeClr val="bg1"/>
            </a:solidFill>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0.00793</cdr:x>
      <cdr:y>0.95313</cdr:y>
    </cdr:from>
    <cdr:to>
      <cdr:x>0.9612</cdr:x>
      <cdr:y>1</cdr:y>
    </cdr:to>
    <cdr:sp macro="" textlink="">
      <cdr:nvSpPr>
        <cdr:cNvPr id="2" name="TextBox 1">
          <a:extLst xmlns:a="http://schemas.openxmlformats.org/drawingml/2006/main">
            <a:ext uri="{FF2B5EF4-FFF2-40B4-BE49-F238E27FC236}">
              <a16:creationId xmlns:a16="http://schemas.microsoft.com/office/drawing/2014/main" id="{06D94E47-82C6-4360-B720-DD11EF273030}"/>
            </a:ext>
          </a:extLst>
        </cdr:cNvPr>
        <cdr:cNvSpPr txBox="1"/>
      </cdr:nvSpPr>
      <cdr:spPr>
        <a:xfrm xmlns:a="http://schemas.openxmlformats.org/drawingml/2006/main">
          <a:off x="60324" y="3486151"/>
          <a:ext cx="7255107" cy="17144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i="1">
              <a:solidFill>
                <a:schemeClr val="bg2">
                  <a:lumMod val="25000"/>
                </a:schemeClr>
              </a:solidFill>
            </a:rPr>
            <a:t>Note: Annual net revenue estimates reflect</a:t>
          </a:r>
          <a:r>
            <a:rPr lang="en-US" sz="800" i="1" baseline="0">
              <a:solidFill>
                <a:schemeClr val="bg2">
                  <a:lumMod val="25000"/>
                </a:schemeClr>
              </a:solidFill>
            </a:rPr>
            <a:t> changes relative to the baseline estimates (e.g., Year 0) for retention and average student credit hour load.</a:t>
          </a:r>
          <a:endParaRPr lang="en-US" sz="800" i="1">
            <a:solidFill>
              <a:schemeClr val="bg2">
                <a:lumMod val="25000"/>
              </a:schemeClr>
            </a:solidFill>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14</xdr:col>
      <xdr:colOff>157695</xdr:colOff>
      <xdr:row>10</xdr:row>
      <xdr:rowOff>179905</xdr:rowOff>
    </xdr:from>
    <xdr:to>
      <xdr:col>22</xdr:col>
      <xdr:colOff>93348</xdr:colOff>
      <xdr:row>28</xdr:row>
      <xdr:rowOff>9525</xdr:rowOff>
    </xdr:to>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22</xdr:col>
      <xdr:colOff>114300</xdr:colOff>
      <xdr:row>11</xdr:row>
      <xdr:rowOff>0</xdr:rowOff>
    </xdr:from>
    <xdr:to>
      <xdr:col>24</xdr:col>
      <xdr:colOff>247650</xdr:colOff>
      <xdr:row>19</xdr:row>
      <xdr:rowOff>0</xdr:rowOff>
    </xdr:to>
    <xdr:sp macro="" textlink="">
      <xdr:nvSpPr>
        <xdr:cNvPr id="13" name="TextBox 1">
          <a:extLst>
            <a:ext uri="{FF2B5EF4-FFF2-40B4-BE49-F238E27FC236}">
              <a16:creationId xmlns:a16="http://schemas.microsoft.com/office/drawing/2014/main" id="{00000000-0008-0000-0500-00000D000000}"/>
            </a:ext>
          </a:extLst>
        </xdr:cNvPr>
        <xdr:cNvSpPr txBox="1"/>
      </xdr:nvSpPr>
      <xdr:spPr>
        <a:xfrm>
          <a:off x="12315825" y="2257425"/>
          <a:ext cx="1352550" cy="17716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9:</a:t>
          </a:r>
          <a:r>
            <a:rPr lang="en-US" sz="1050" b="1" i="1">
              <a:solidFill>
                <a:schemeClr val="bg1"/>
              </a:solidFill>
            </a:rPr>
            <a:t> </a:t>
          </a:r>
        </a:p>
        <a:p>
          <a:r>
            <a:rPr lang="en-US" sz="1050" b="1" i="1">
              <a:solidFill>
                <a:schemeClr val="bg1"/>
              </a:solidFill>
            </a:rPr>
            <a:t>This</a:t>
          </a:r>
          <a:r>
            <a:rPr lang="en-US" sz="1050" b="1" i="1" baseline="0">
              <a:solidFill>
                <a:schemeClr val="bg1"/>
              </a:solidFill>
            </a:rPr>
            <a:t> graph shows the potential net revenue generated from an increase in retention or average student credit hour load among students participating in the initiative (relative to baseline estimates in Year 0).</a:t>
          </a:r>
        </a:p>
        <a:p>
          <a:endParaRPr lang="en-US" sz="1050" b="1" i="1" baseline="0">
            <a:solidFill>
              <a:schemeClr val="bg1"/>
            </a:solidFill>
          </a:endParaRPr>
        </a:p>
        <a:p>
          <a:r>
            <a:rPr lang="en-US" sz="1050" b="1" i="1" baseline="0">
              <a:solidFill>
                <a:schemeClr val="bg1"/>
              </a:solidFill>
            </a:rPr>
            <a:t>The total impact of this projected net revenue is shown in Figure 4 on the "Dashboard Graphics" tab.</a:t>
          </a:r>
          <a:endParaRPr lang="en-US" sz="1050" b="1" i="1">
            <a:solidFill>
              <a:schemeClr val="bg1"/>
            </a:solidFill>
          </a:endParaRPr>
        </a:p>
      </xdr:txBody>
    </xdr:sp>
    <xdr:clientData/>
  </xdr:twoCellAnchor>
  <xdr:twoCellAnchor editAs="oneCell">
    <xdr:from>
      <xdr:col>7</xdr:col>
      <xdr:colOff>200025</xdr:colOff>
      <xdr:row>9</xdr:row>
      <xdr:rowOff>190494</xdr:rowOff>
    </xdr:from>
    <xdr:to>
      <xdr:col>13</xdr:col>
      <xdr:colOff>502920</xdr:colOff>
      <xdr:row>19</xdr:row>
      <xdr:rowOff>35446</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142875</xdr:colOff>
      <xdr:row>13</xdr:row>
      <xdr:rowOff>19050</xdr:rowOff>
    </xdr:from>
    <xdr:to>
      <xdr:col>4</xdr:col>
      <xdr:colOff>304800</xdr:colOff>
      <xdr:row>19</xdr:row>
      <xdr:rowOff>0</xdr:rowOff>
    </xdr:to>
    <xdr:sp macro="" textlink="">
      <xdr:nvSpPr>
        <xdr:cNvPr id="15" name="TextBox 1">
          <a:extLst>
            <a:ext uri="{FF2B5EF4-FFF2-40B4-BE49-F238E27FC236}">
              <a16:creationId xmlns:a16="http://schemas.microsoft.com/office/drawing/2014/main" id="{00000000-0008-0000-0500-00000F000000}"/>
            </a:ext>
          </a:extLst>
        </xdr:cNvPr>
        <xdr:cNvSpPr txBox="1"/>
      </xdr:nvSpPr>
      <xdr:spPr>
        <a:xfrm>
          <a:off x="533400" y="2495550"/>
          <a:ext cx="2219325" cy="11239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7:</a:t>
          </a:r>
        </a:p>
        <a:p>
          <a:pPr algn="ctr"/>
          <a:r>
            <a:rPr lang="en-US" sz="1050" b="1" i="1">
              <a:solidFill>
                <a:schemeClr val="bg1"/>
              </a:solidFill>
            </a:rPr>
            <a:t>This metric shows how an increase in retention (effective</a:t>
          </a:r>
          <a:r>
            <a:rPr lang="en-US" sz="1050" b="1" i="1" baseline="0">
              <a:solidFill>
                <a:schemeClr val="bg1"/>
              </a:solidFill>
            </a:rPr>
            <a:t> Fall of Year 2) </a:t>
          </a:r>
          <a:r>
            <a:rPr lang="en-US" sz="1050" b="1" i="1">
              <a:solidFill>
                <a:schemeClr val="bg1"/>
              </a:solidFill>
            </a:rPr>
            <a:t>can generate additional revenue, even without enrolling new students.</a:t>
          </a:r>
          <a:r>
            <a:rPr lang="en-US" sz="1050" b="1" i="1" baseline="0">
              <a:solidFill>
                <a:schemeClr val="bg1"/>
              </a:solidFill>
            </a:rPr>
            <a:t> </a:t>
          </a:r>
          <a:endParaRPr lang="en-US" sz="1050" b="1" i="1">
            <a:solidFill>
              <a:schemeClr val="bg1"/>
            </a:solidFill>
          </a:endParaRPr>
        </a:p>
      </xdr:txBody>
    </xdr:sp>
    <xdr:clientData/>
  </xdr:twoCellAnchor>
  <xdr:twoCellAnchor editAs="oneCell">
    <xdr:from>
      <xdr:col>7</xdr:col>
      <xdr:colOff>200025</xdr:colOff>
      <xdr:row>20</xdr:row>
      <xdr:rowOff>182009</xdr:rowOff>
    </xdr:from>
    <xdr:to>
      <xdr:col>13</xdr:col>
      <xdr:colOff>502920</xdr:colOff>
      <xdr:row>29</xdr:row>
      <xdr:rowOff>83584</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152400</xdr:colOff>
      <xdr:row>24</xdr:row>
      <xdr:rowOff>28575</xdr:rowOff>
    </xdr:from>
    <xdr:to>
      <xdr:col>4</xdr:col>
      <xdr:colOff>304800</xdr:colOff>
      <xdr:row>28</xdr:row>
      <xdr:rowOff>133350</xdr:rowOff>
    </xdr:to>
    <xdr:sp macro="" textlink="">
      <xdr:nvSpPr>
        <xdr:cNvPr id="17" name="TextBox 1">
          <a:extLst>
            <a:ext uri="{FF2B5EF4-FFF2-40B4-BE49-F238E27FC236}">
              <a16:creationId xmlns:a16="http://schemas.microsoft.com/office/drawing/2014/main" id="{00000000-0008-0000-0500-000011000000}"/>
            </a:ext>
          </a:extLst>
        </xdr:cNvPr>
        <xdr:cNvSpPr txBox="1"/>
      </xdr:nvSpPr>
      <xdr:spPr>
        <a:xfrm>
          <a:off x="542925" y="17364075"/>
          <a:ext cx="2209800" cy="9906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8: </a:t>
          </a:r>
        </a:p>
        <a:p>
          <a:pPr algn="ctr"/>
          <a:r>
            <a:rPr lang="en-US" sz="1050" b="1" i="1">
              <a:solidFill>
                <a:schemeClr val="bg1"/>
              </a:solidFill>
            </a:rPr>
            <a:t>This metric</a:t>
          </a:r>
          <a:r>
            <a:rPr lang="en-US" sz="1050" b="1" i="1" baseline="0">
              <a:solidFill>
                <a:schemeClr val="bg1"/>
              </a:solidFill>
            </a:rPr>
            <a:t> </a:t>
          </a:r>
          <a:r>
            <a:rPr lang="en-US" sz="1050" b="1" i="1">
              <a:solidFill>
                <a:schemeClr val="bg1"/>
              </a:solidFill>
            </a:rPr>
            <a:t>shows how an increase in the average student credit load can generate additional revenue among</a:t>
          </a:r>
          <a:r>
            <a:rPr lang="en-US" sz="1050" b="1" i="1" baseline="0">
              <a:solidFill>
                <a:schemeClr val="bg1"/>
              </a:solidFill>
            </a:rPr>
            <a:t> currently enrolled students</a:t>
          </a:r>
          <a:r>
            <a:rPr lang="en-US" sz="1050" b="1" i="1">
              <a:solidFill>
                <a:schemeClr val="bg1"/>
              </a:solidFill>
            </a:rPr>
            <a:t>.</a:t>
          </a:r>
          <a:r>
            <a:rPr lang="en-US" sz="1050" b="1" i="1" baseline="0">
              <a:solidFill>
                <a:schemeClr val="bg1"/>
              </a:solidFill>
            </a:rPr>
            <a:t> </a:t>
          </a:r>
          <a:endParaRPr lang="en-US" sz="1050" b="1" i="1">
            <a:solidFill>
              <a:schemeClr val="bg1"/>
            </a:solidFill>
          </a:endParaRPr>
        </a:p>
      </xdr:txBody>
    </xdr:sp>
    <xdr:clientData/>
  </xdr:twoCellAnchor>
  <xdr:twoCellAnchor editAs="oneCell">
    <xdr:from>
      <xdr:col>7</xdr:col>
      <xdr:colOff>200025</xdr:colOff>
      <xdr:row>35</xdr:row>
      <xdr:rowOff>187323</xdr:rowOff>
    </xdr:from>
    <xdr:to>
      <xdr:col>13</xdr:col>
      <xdr:colOff>502920</xdr:colOff>
      <xdr:row>45</xdr:row>
      <xdr:rowOff>103503</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9525</xdr:colOff>
          <xdr:row>39</xdr:row>
          <xdr:rowOff>0</xdr:rowOff>
        </xdr:from>
        <xdr:to>
          <xdr:col>3</xdr:col>
          <xdr:colOff>561975</xdr:colOff>
          <xdr:row>39</xdr:row>
          <xdr:rowOff>295275</xdr:rowOff>
        </xdr:to>
        <xdr:sp macro="" textlink="">
          <xdr:nvSpPr>
            <xdr:cNvPr id="27649" name="Scroll Bar 1" hidden="1">
              <a:extLst>
                <a:ext uri="{63B3BB69-23CF-44E3-9099-C40C66FF867C}">
                  <a14:compatExt spid="_x0000_s27649"/>
                </a:ext>
                <a:ext uri="{FF2B5EF4-FFF2-40B4-BE49-F238E27FC236}">
                  <a16:creationId xmlns:a16="http://schemas.microsoft.com/office/drawing/2014/main" id="{00000000-0008-0000-0500-0000016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editAs="oneCell">
    <xdr:from>
      <xdr:col>1</xdr:col>
      <xdr:colOff>0</xdr:colOff>
      <xdr:row>40</xdr:row>
      <xdr:rowOff>9524</xdr:rowOff>
    </xdr:from>
    <xdr:to>
      <xdr:col>4</xdr:col>
      <xdr:colOff>152400</xdr:colOff>
      <xdr:row>45</xdr:row>
      <xdr:rowOff>38100</xdr:rowOff>
    </xdr:to>
    <xdr:sp macro="" textlink="">
      <xdr:nvSpPr>
        <xdr:cNvPr id="20" name="TextBox 1">
          <a:extLst>
            <a:ext uri="{FF2B5EF4-FFF2-40B4-BE49-F238E27FC236}">
              <a16:creationId xmlns:a16="http://schemas.microsoft.com/office/drawing/2014/main" id="{00000000-0008-0000-0500-000014000000}"/>
            </a:ext>
          </a:extLst>
        </xdr:cNvPr>
        <xdr:cNvSpPr txBox="1"/>
      </xdr:nvSpPr>
      <xdr:spPr>
        <a:xfrm>
          <a:off x="390525" y="20783549"/>
          <a:ext cx="2209800" cy="9810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10:</a:t>
          </a:r>
        </a:p>
        <a:p>
          <a:pPr algn="ctr"/>
          <a:r>
            <a:rPr lang="en-US" sz="1050" b="1" i="1">
              <a:solidFill>
                <a:schemeClr val="bg1"/>
              </a:solidFill>
            </a:rPr>
            <a:t>This metric</a:t>
          </a:r>
          <a:r>
            <a:rPr lang="en-US" sz="1050" b="1" i="1" baseline="0">
              <a:solidFill>
                <a:schemeClr val="bg1"/>
              </a:solidFill>
            </a:rPr>
            <a:t> </a:t>
          </a:r>
          <a:r>
            <a:rPr lang="en-US" sz="1050" b="1" i="1">
              <a:solidFill>
                <a:schemeClr val="bg1"/>
              </a:solidFill>
            </a:rPr>
            <a:t>shows how credit hours attempted</a:t>
          </a:r>
          <a:r>
            <a:rPr lang="en-US" sz="1050" b="1" i="1" baseline="0">
              <a:solidFill>
                <a:schemeClr val="bg1"/>
              </a:solidFill>
            </a:rPr>
            <a:t> but not completed can "waste" institutional resources on unproductive course taking.  </a:t>
          </a:r>
          <a:endParaRPr lang="en-US" sz="1050" b="1" i="1">
            <a:solidFill>
              <a:schemeClr val="bg1"/>
            </a:solidFill>
          </a:endParaRPr>
        </a:p>
      </xdr:txBody>
    </xdr:sp>
    <xdr:clientData/>
  </xdr:twoCellAnchor>
  <xdr:twoCellAnchor>
    <xdr:from>
      <xdr:col>14</xdr:col>
      <xdr:colOff>171450</xdr:colOff>
      <xdr:row>35</xdr:row>
      <xdr:rowOff>187323</xdr:rowOff>
    </xdr:from>
    <xdr:to>
      <xdr:col>24</xdr:col>
      <xdr:colOff>180975</xdr:colOff>
      <xdr:row>53</xdr:row>
      <xdr:rowOff>29873</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7191375" y="7759698"/>
          <a:ext cx="6105525" cy="3462050"/>
          <a:chOff x="7496175" y="19818348"/>
          <a:chExt cx="6105525" cy="3462050"/>
        </a:xfrm>
      </xdr:grpSpPr>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7496175" y="19818348"/>
          <a:ext cx="4812454" cy="3462050"/>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23" name="TextBox 1">
            <a:extLst>
              <a:ext uri="{FF2B5EF4-FFF2-40B4-BE49-F238E27FC236}">
                <a16:creationId xmlns:a16="http://schemas.microsoft.com/office/drawing/2014/main" id="{00000000-0008-0000-0500-000017000000}"/>
              </a:ext>
            </a:extLst>
          </xdr:cNvPr>
          <xdr:cNvSpPr txBox="1"/>
        </xdr:nvSpPr>
        <xdr:spPr>
          <a:xfrm>
            <a:off x="12315825" y="19821751"/>
            <a:ext cx="1285875" cy="189766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11:</a:t>
            </a:r>
          </a:p>
          <a:p>
            <a:r>
              <a:rPr lang="en-US" sz="1050" b="1" i="1">
                <a:solidFill>
                  <a:schemeClr val="bg1"/>
                </a:solidFill>
              </a:rPr>
              <a:t>This</a:t>
            </a:r>
            <a:r>
              <a:rPr lang="en-US" sz="1050" b="1" i="1" baseline="0">
                <a:solidFill>
                  <a:schemeClr val="bg1"/>
                </a:solidFill>
              </a:rPr>
              <a:t> graph shows the potential reduction in unproductive credit hours and a more efficient use of institutional resources.</a:t>
            </a:r>
            <a:endParaRPr lang="en-US" sz="1050" b="1" i="1">
              <a:solidFill>
                <a:schemeClr val="bg1"/>
              </a:solidFill>
            </a:endParaRPr>
          </a:p>
        </xdr:txBody>
      </xdr:sp>
    </xdr:grpSp>
    <xdr:clientData/>
  </xdr:twoCellAnchor>
  <xdr:twoCellAnchor editAs="oneCell">
    <xdr:from>
      <xdr:col>7</xdr:col>
      <xdr:colOff>200025</xdr:colOff>
      <xdr:row>53</xdr:row>
      <xdr:rowOff>188953</xdr:rowOff>
    </xdr:from>
    <xdr:to>
      <xdr:col>13</xdr:col>
      <xdr:colOff>502920</xdr:colOff>
      <xdr:row>63</xdr:row>
      <xdr:rowOff>114658</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9525</xdr:colOff>
          <xdr:row>57</xdr:row>
          <xdr:rowOff>0</xdr:rowOff>
        </xdr:from>
        <xdr:to>
          <xdr:col>3</xdr:col>
          <xdr:colOff>561975</xdr:colOff>
          <xdr:row>57</xdr:row>
          <xdr:rowOff>304800</xdr:rowOff>
        </xdr:to>
        <xdr:sp macro="" textlink="">
          <xdr:nvSpPr>
            <xdr:cNvPr id="27650" name="Scroll Bar 2" hidden="1">
              <a:extLst>
                <a:ext uri="{63B3BB69-23CF-44E3-9099-C40C66FF867C}">
                  <a14:compatExt spid="_x0000_s27650"/>
                </a:ext>
                <a:ext uri="{FF2B5EF4-FFF2-40B4-BE49-F238E27FC236}">
                  <a16:creationId xmlns:a16="http://schemas.microsoft.com/office/drawing/2014/main" id="{00000000-0008-0000-0500-0000026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editAs="oneCell">
    <xdr:from>
      <xdr:col>1</xdr:col>
      <xdr:colOff>0</xdr:colOff>
      <xdr:row>58</xdr:row>
      <xdr:rowOff>9525</xdr:rowOff>
    </xdr:from>
    <xdr:to>
      <xdr:col>4</xdr:col>
      <xdr:colOff>152400</xdr:colOff>
      <xdr:row>64</xdr:row>
      <xdr:rowOff>9525</xdr:rowOff>
    </xdr:to>
    <xdr:sp macro="" textlink="">
      <xdr:nvSpPr>
        <xdr:cNvPr id="26" name="TextBox 1">
          <a:extLst>
            <a:ext uri="{FF2B5EF4-FFF2-40B4-BE49-F238E27FC236}">
              <a16:creationId xmlns:a16="http://schemas.microsoft.com/office/drawing/2014/main" id="{00000000-0008-0000-0500-00001A000000}"/>
            </a:ext>
          </a:extLst>
        </xdr:cNvPr>
        <xdr:cNvSpPr txBox="1"/>
      </xdr:nvSpPr>
      <xdr:spPr>
        <a:xfrm>
          <a:off x="390525" y="24403050"/>
          <a:ext cx="2209800" cy="11430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400" b="1" i="1">
              <a:solidFill>
                <a:schemeClr val="bg1"/>
              </a:solidFill>
            </a:rPr>
            <a:t>FIGURE 12:</a:t>
          </a:r>
        </a:p>
        <a:p>
          <a:pPr algn="ctr"/>
          <a:r>
            <a:rPr lang="en-US" sz="1050" b="1" i="1">
              <a:solidFill>
                <a:schemeClr val="bg1"/>
              </a:solidFill>
            </a:rPr>
            <a:t>This metric</a:t>
          </a:r>
          <a:r>
            <a:rPr lang="en-US" sz="1050" b="1" i="1" baseline="0">
              <a:solidFill>
                <a:schemeClr val="bg1"/>
              </a:solidFill>
            </a:rPr>
            <a:t> </a:t>
          </a:r>
          <a:r>
            <a:rPr lang="en-US" sz="1050" b="1" i="1">
              <a:solidFill>
                <a:schemeClr val="bg1"/>
              </a:solidFill>
            </a:rPr>
            <a:t>shows how changes academic efficiency (measured by </a:t>
          </a:r>
          <a:r>
            <a:rPr lang="en-US" sz="1050" b="1" i="1" baseline="0">
              <a:solidFill>
                <a:schemeClr val="bg1"/>
              </a:solidFill>
            </a:rPr>
            <a:t> the average number student </a:t>
          </a:r>
          <a:r>
            <a:rPr lang="en-US" sz="1050" b="1" i="1">
              <a:solidFill>
                <a:schemeClr val="bg1"/>
              </a:solidFill>
            </a:rPr>
            <a:t>credit hours per FTE faculty</a:t>
          </a:r>
          <a:r>
            <a:rPr lang="en-US" sz="1050" b="1" i="1" baseline="0">
              <a:solidFill>
                <a:schemeClr val="bg1"/>
              </a:solidFill>
            </a:rPr>
            <a:t> ) can generate compensation savings.   </a:t>
          </a:r>
          <a:endParaRPr lang="en-US" sz="1050" b="1" i="1">
            <a:solidFill>
              <a:schemeClr val="bg1"/>
            </a:solidFill>
          </a:endParaRPr>
        </a:p>
      </xdr:txBody>
    </xdr:sp>
    <xdr:clientData/>
  </xdr:twoCellAnchor>
  <xdr:twoCellAnchor editAs="oneCell">
    <xdr:from>
      <xdr:col>14</xdr:col>
      <xdr:colOff>171450</xdr:colOff>
      <xdr:row>53</xdr:row>
      <xdr:rowOff>188953</xdr:rowOff>
    </xdr:from>
    <xdr:to>
      <xdr:col>22</xdr:col>
      <xdr:colOff>104394</xdr:colOff>
      <xdr:row>71</xdr:row>
      <xdr:rowOff>11910</xdr:rowOff>
    </xdr:to>
    <xdr:graphicFrame macro="">
      <xdr:nvGraphicFramePr>
        <xdr:cNvPr id="27" name="Chart 26">
          <a:extLst>
            <a:ext uri="{FF2B5EF4-FFF2-40B4-BE49-F238E27FC236}">
              <a16:creationId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22</xdr:col>
      <xdr:colOff>114300</xdr:colOff>
      <xdr:row>54</xdr:row>
      <xdr:rowOff>40054</xdr:rowOff>
    </xdr:from>
    <xdr:to>
      <xdr:col>24</xdr:col>
      <xdr:colOff>180975</xdr:colOff>
      <xdr:row>65</xdr:row>
      <xdr:rowOff>62892</xdr:rowOff>
    </xdr:to>
    <xdr:sp macro="" textlink="">
      <xdr:nvSpPr>
        <xdr:cNvPr id="28" name="TextBox 1">
          <a:extLst>
            <a:ext uri="{FF2B5EF4-FFF2-40B4-BE49-F238E27FC236}">
              <a16:creationId xmlns:a16="http://schemas.microsoft.com/office/drawing/2014/main" id="{00000000-0008-0000-0500-00001C000000}"/>
            </a:ext>
          </a:extLst>
        </xdr:cNvPr>
        <xdr:cNvSpPr txBox="1"/>
      </xdr:nvSpPr>
      <xdr:spPr>
        <a:xfrm>
          <a:off x="12315825" y="23481079"/>
          <a:ext cx="1285875" cy="230883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i="1">
              <a:solidFill>
                <a:schemeClr val="bg1"/>
              </a:solidFill>
            </a:rPr>
            <a:t>FIGURE 13:</a:t>
          </a:r>
        </a:p>
        <a:p>
          <a:r>
            <a:rPr lang="en-US" sz="1050" b="1" i="1">
              <a:solidFill>
                <a:schemeClr val="bg1"/>
              </a:solidFill>
            </a:rPr>
            <a:t>This</a:t>
          </a:r>
          <a:r>
            <a:rPr lang="en-US" sz="1050" b="1" i="1" baseline="0">
              <a:solidFill>
                <a:schemeClr val="bg1"/>
              </a:solidFill>
            </a:rPr>
            <a:t> graph shows how changes in academic efficiency (e.g., optimizing course section size, reducing low-enrollment sections and programs) can potentially impact hiring decisions and compensation expenditures.</a:t>
          </a:r>
          <a:endParaRPr lang="en-US" sz="1050" b="1" i="1">
            <a:solidFill>
              <a:schemeClr val="bg1"/>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0.01078</cdr:x>
      <cdr:y>0.92254</cdr:y>
    </cdr:from>
    <cdr:to>
      <cdr:x>0.98852</cdr:x>
      <cdr:y>0.99516</cdr:y>
    </cdr:to>
    <cdr:sp macro="" textlink="">
      <cdr:nvSpPr>
        <cdr:cNvPr id="2" name="TextBox 1">
          <a:extLst xmlns:a="http://schemas.openxmlformats.org/drawingml/2006/main">
            <a:ext uri="{FF2B5EF4-FFF2-40B4-BE49-F238E27FC236}">
              <a16:creationId xmlns:a16="http://schemas.microsoft.com/office/drawing/2014/main" id="{CD714E75-0582-4C72-B83B-DC0A1BDF3E44}"/>
            </a:ext>
          </a:extLst>
        </cdr:cNvPr>
        <cdr:cNvSpPr txBox="1"/>
      </cdr:nvSpPr>
      <cdr:spPr>
        <a:xfrm xmlns:a="http://schemas.openxmlformats.org/drawingml/2006/main">
          <a:off x="51855" y="3630094"/>
          <a:ext cx="4705350" cy="285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i="1">
              <a:solidFill>
                <a:schemeClr val="bg2">
                  <a:lumMod val="25000"/>
                </a:schemeClr>
              </a:solidFill>
            </a:rPr>
            <a:t>Note: Annual net revenue estimates reflect</a:t>
          </a:r>
          <a:r>
            <a:rPr lang="en-US" sz="800" i="1" baseline="0">
              <a:solidFill>
                <a:schemeClr val="bg2">
                  <a:lumMod val="25000"/>
                </a:schemeClr>
              </a:solidFill>
            </a:rPr>
            <a:t> changes relative to the baseline estimates (e.g., Year 0) for retention and average student credit hour load.</a:t>
          </a:r>
          <a:endParaRPr lang="en-US" sz="800" i="1">
            <a:solidFill>
              <a:schemeClr val="bg2">
                <a:lumMod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0.01056</cdr:x>
      <cdr:y>0.94106</cdr:y>
    </cdr:from>
    <cdr:to>
      <cdr:x>0.9883</cdr:x>
      <cdr:y>1</cdr:y>
    </cdr:to>
    <cdr:sp macro="" textlink="">
      <cdr:nvSpPr>
        <cdr:cNvPr id="2" name="TextBox 1">
          <a:extLst xmlns:a="http://schemas.openxmlformats.org/drawingml/2006/main">
            <a:ext uri="{FF2B5EF4-FFF2-40B4-BE49-F238E27FC236}">
              <a16:creationId xmlns:a16="http://schemas.microsoft.com/office/drawing/2014/main" id="{113505C4-6A15-4926-9D65-FEAFFF08D523}"/>
            </a:ext>
          </a:extLst>
        </cdr:cNvPr>
        <cdr:cNvSpPr txBox="1"/>
      </cdr:nvSpPr>
      <cdr:spPr>
        <a:xfrm xmlns:a="http://schemas.openxmlformats.org/drawingml/2006/main">
          <a:off x="50800" y="3041652"/>
          <a:ext cx="4705328" cy="19050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i="1">
              <a:solidFill>
                <a:schemeClr val="bg2">
                  <a:lumMod val="25000"/>
                </a:schemeClr>
              </a:solidFill>
            </a:rPr>
            <a:t>Note: Estimates reflect</a:t>
          </a:r>
          <a:r>
            <a:rPr lang="en-US" sz="800" i="1" baseline="0">
              <a:solidFill>
                <a:schemeClr val="bg2">
                  <a:lumMod val="25000"/>
                </a:schemeClr>
              </a:solidFill>
            </a:rPr>
            <a:t> changes relative to the baseline (e.g., Year 0).</a:t>
          </a:r>
          <a:endParaRPr lang="en-US" sz="800" i="1">
            <a:solidFill>
              <a:schemeClr val="bg2">
                <a:lumMod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0.01056</cdr:x>
      <cdr:y>0.93958</cdr:y>
    </cdr:from>
    <cdr:to>
      <cdr:x>0.98885</cdr:x>
      <cdr:y>1</cdr:y>
    </cdr:to>
    <cdr:sp macro="" textlink="">
      <cdr:nvSpPr>
        <cdr:cNvPr id="2" name="TextBox 1">
          <a:extLst xmlns:a="http://schemas.openxmlformats.org/drawingml/2006/main">
            <a:ext uri="{FF2B5EF4-FFF2-40B4-BE49-F238E27FC236}">
              <a16:creationId xmlns:a16="http://schemas.microsoft.com/office/drawing/2014/main" id="{1E876C79-DD88-423D-9B24-C58FFDE005E5}"/>
            </a:ext>
          </a:extLst>
        </cdr:cNvPr>
        <cdr:cNvSpPr txBox="1"/>
      </cdr:nvSpPr>
      <cdr:spPr>
        <a:xfrm xmlns:a="http://schemas.openxmlformats.org/drawingml/2006/main">
          <a:off x="50800" y="2971800"/>
          <a:ext cx="4705328" cy="19050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800" i="1">
              <a:solidFill>
                <a:schemeClr val="bg2">
                  <a:lumMod val="25000"/>
                </a:schemeClr>
              </a:solidFill>
            </a:rPr>
            <a:t>Note: Estimates reflect</a:t>
          </a:r>
          <a:r>
            <a:rPr lang="en-US" sz="800" i="1" baseline="0">
              <a:solidFill>
                <a:schemeClr val="bg2">
                  <a:lumMod val="25000"/>
                </a:schemeClr>
              </a:solidFill>
            </a:rPr>
            <a:t> changes relative to the baseline (e.g., Year 0).</a:t>
          </a:r>
          <a:endParaRPr lang="en-US" sz="800" i="1">
            <a:solidFill>
              <a:schemeClr val="bg2">
                <a:lumMod val="25000"/>
              </a:schemeClr>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41100"/>
  </sheetPr>
  <dimension ref="B1:K32"/>
  <sheetViews>
    <sheetView showGridLines="0" tabSelected="1" workbookViewId="0"/>
  </sheetViews>
  <sheetFormatPr defaultColWidth="8.85546875" defaultRowHeight="15" x14ac:dyDescent="0.25"/>
  <cols>
    <col min="1" max="1" width="1.7109375" customWidth="1"/>
  </cols>
  <sheetData>
    <row r="1" spans="2:11" x14ac:dyDescent="0.25">
      <c r="J1" s="263" t="s">
        <v>340</v>
      </c>
    </row>
    <row r="2" spans="2:11" ht="18.75" x14ac:dyDescent="0.3">
      <c r="B2" s="121"/>
    </row>
    <row r="3" spans="2:11" ht="18.75" x14ac:dyDescent="0.3">
      <c r="B3" s="121"/>
    </row>
    <row r="5" spans="2:11" ht="18.75" x14ac:dyDescent="0.3">
      <c r="B5" s="282" t="s">
        <v>202</v>
      </c>
    </row>
    <row r="8" spans="2:11" x14ac:dyDescent="0.25">
      <c r="B8" s="385" t="s">
        <v>341</v>
      </c>
      <c r="C8" s="385"/>
      <c r="D8" s="385"/>
      <c r="E8" s="385"/>
      <c r="F8" s="385"/>
      <c r="G8" s="385"/>
      <c r="H8" s="385"/>
      <c r="I8" s="385"/>
      <c r="J8" s="385"/>
      <c r="K8" s="385"/>
    </row>
    <row r="9" spans="2:11" x14ac:dyDescent="0.25">
      <c r="B9" s="385"/>
      <c r="C9" s="385"/>
      <c r="D9" s="385"/>
      <c r="E9" s="385"/>
      <c r="F9" s="385"/>
      <c r="G9" s="385"/>
      <c r="H9" s="385"/>
      <c r="I9" s="385"/>
      <c r="J9" s="385"/>
      <c r="K9" s="385"/>
    </row>
    <row r="10" spans="2:11" x14ac:dyDescent="0.25">
      <c r="B10" s="385"/>
      <c r="C10" s="385"/>
      <c r="D10" s="385"/>
      <c r="E10" s="385"/>
      <c r="F10" s="385"/>
      <c r="G10" s="385"/>
      <c r="H10" s="385"/>
      <c r="I10" s="385"/>
      <c r="J10" s="385"/>
      <c r="K10" s="385"/>
    </row>
    <row r="12" spans="2:11" x14ac:dyDescent="0.25">
      <c r="B12" s="384" t="s">
        <v>342</v>
      </c>
      <c r="C12" s="384"/>
      <c r="D12" s="384"/>
      <c r="E12" s="384"/>
      <c r="F12" s="384"/>
      <c r="G12" s="384"/>
      <c r="H12" s="384"/>
      <c r="I12" s="384"/>
      <c r="J12" s="384"/>
      <c r="K12" s="384"/>
    </row>
    <row r="13" spans="2:11" x14ac:dyDescent="0.25">
      <c r="B13" s="384"/>
      <c r="C13" s="384"/>
      <c r="D13" s="384"/>
      <c r="E13" s="384"/>
      <c r="F13" s="384"/>
      <c r="G13" s="384"/>
      <c r="H13" s="384"/>
      <c r="I13" s="384"/>
      <c r="J13" s="384"/>
      <c r="K13" s="384"/>
    </row>
    <row r="14" spans="2:11" x14ac:dyDescent="0.25">
      <c r="B14" s="384"/>
      <c r="C14" s="384"/>
      <c r="D14" s="384"/>
      <c r="E14" s="384"/>
      <c r="F14" s="384"/>
      <c r="G14" s="384"/>
      <c r="H14" s="384"/>
      <c r="I14" s="384"/>
      <c r="J14" s="384"/>
      <c r="K14" s="384"/>
    </row>
    <row r="15" spans="2:11" x14ac:dyDescent="0.25">
      <c r="B15" s="384"/>
      <c r="C15" s="384"/>
      <c r="D15" s="384"/>
      <c r="E15" s="384"/>
      <c r="F15" s="384"/>
      <c r="G15" s="384"/>
      <c r="H15" s="384"/>
      <c r="I15" s="384"/>
      <c r="J15" s="384"/>
      <c r="K15" s="384"/>
    </row>
    <row r="16" spans="2:11" x14ac:dyDescent="0.25">
      <c r="B16" s="384"/>
      <c r="C16" s="384"/>
      <c r="D16" s="384"/>
      <c r="E16" s="384"/>
      <c r="F16" s="384"/>
      <c r="G16" s="384"/>
      <c r="H16" s="384"/>
      <c r="I16" s="384"/>
      <c r="J16" s="384"/>
      <c r="K16" s="384"/>
    </row>
    <row r="17" spans="2:11" x14ac:dyDescent="0.25">
      <c r="B17" s="384"/>
      <c r="C17" s="384"/>
      <c r="D17" s="384"/>
      <c r="E17" s="384"/>
      <c r="F17" s="384"/>
      <c r="G17" s="384"/>
      <c r="H17" s="384"/>
      <c r="I17" s="384"/>
      <c r="J17" s="384"/>
      <c r="K17" s="384"/>
    </row>
    <row r="20" spans="2:11" ht="15.75" x14ac:dyDescent="0.25">
      <c r="B20" s="195" t="s">
        <v>405</v>
      </c>
    </row>
    <row r="27" spans="2:11" x14ac:dyDescent="0.25">
      <c r="B27" s="386"/>
      <c r="C27" s="386"/>
      <c r="D27" s="386"/>
      <c r="E27" s="386"/>
      <c r="F27" s="386"/>
      <c r="G27" s="386"/>
      <c r="H27" s="386"/>
      <c r="I27" s="386"/>
      <c r="J27" s="386"/>
      <c r="K27" s="386"/>
    </row>
    <row r="28" spans="2:11" x14ac:dyDescent="0.25">
      <c r="B28" s="386"/>
      <c r="C28" s="386"/>
      <c r="D28" s="386"/>
      <c r="E28" s="386"/>
      <c r="F28" s="386"/>
      <c r="G28" s="386"/>
      <c r="H28" s="386"/>
      <c r="I28" s="386"/>
      <c r="J28" s="386"/>
      <c r="K28" s="386"/>
    </row>
    <row r="29" spans="2:11" x14ac:dyDescent="0.25">
      <c r="B29" s="386"/>
      <c r="C29" s="386"/>
      <c r="D29" s="386"/>
      <c r="E29" s="386"/>
      <c r="F29" s="386"/>
      <c r="G29" s="386"/>
      <c r="H29" s="386"/>
      <c r="I29" s="386"/>
      <c r="J29" s="386"/>
      <c r="K29" s="386"/>
    </row>
    <row r="30" spans="2:11" x14ac:dyDescent="0.25">
      <c r="B30" s="386"/>
      <c r="C30" s="386"/>
      <c r="D30" s="386"/>
      <c r="E30" s="386"/>
      <c r="F30" s="386"/>
      <c r="G30" s="386"/>
      <c r="H30" s="386"/>
      <c r="I30" s="386"/>
      <c r="J30" s="386"/>
      <c r="K30" s="386"/>
    </row>
    <row r="31" spans="2:11" x14ac:dyDescent="0.25">
      <c r="B31" s="386"/>
      <c r="C31" s="386"/>
      <c r="D31" s="386"/>
      <c r="E31" s="386"/>
      <c r="F31" s="386"/>
      <c r="G31" s="386"/>
      <c r="H31" s="386"/>
      <c r="I31" s="386"/>
      <c r="J31" s="386"/>
      <c r="K31" s="386"/>
    </row>
    <row r="32" spans="2:11" x14ac:dyDescent="0.25">
      <c r="B32" s="386"/>
      <c r="C32" s="386"/>
      <c r="D32" s="386"/>
      <c r="E32" s="386"/>
      <c r="F32" s="386"/>
      <c r="G32" s="386"/>
      <c r="H32" s="386"/>
      <c r="I32" s="386"/>
      <c r="J32" s="386"/>
      <c r="K32" s="386"/>
    </row>
  </sheetData>
  <sheetProtection algorithmName="SHA-512" hashValue="ypGTrKccIXoy9YMmSZbXPB5b36GQXWoNEG41M9MYRtvtBqf41M6ZwlXHAz+5SeIfkIWbxrs7QBp5l7RUz5wdvQ==" saltValue="4i6BeAUex297LsLUxt59sA==" spinCount="100000" sheet="1" objects="1" scenarios="1"/>
  <mergeCells count="3">
    <mergeCell ref="B12:K17"/>
    <mergeCell ref="B8:K10"/>
    <mergeCell ref="B27:K3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pageSetUpPr fitToPage="1"/>
  </sheetPr>
  <dimension ref="A1:I37"/>
  <sheetViews>
    <sheetView workbookViewId="0"/>
  </sheetViews>
  <sheetFormatPr defaultColWidth="8.85546875" defaultRowHeight="15" x14ac:dyDescent="0.25"/>
  <cols>
    <col min="1" max="2" width="19.42578125" style="3" customWidth="1"/>
    <col min="3" max="6" width="15" style="3" customWidth="1"/>
    <col min="7" max="8" width="15" style="3" hidden="1" customWidth="1"/>
    <col min="9" max="9" width="75.7109375" style="3" customWidth="1"/>
    <col min="10" max="16384" width="8.85546875" style="3"/>
  </cols>
  <sheetData>
    <row r="1" spans="1:9" ht="18.75" x14ac:dyDescent="0.3">
      <c r="A1" s="4" t="s">
        <v>343</v>
      </c>
      <c r="B1" s="4"/>
      <c r="C1" s="4"/>
      <c r="D1" s="4"/>
      <c r="E1" s="4"/>
    </row>
    <row r="2" spans="1:9" ht="18.75" x14ac:dyDescent="0.3">
      <c r="A2" s="31" t="s">
        <v>405</v>
      </c>
      <c r="B2" s="4"/>
      <c r="C2" s="4"/>
      <c r="D2" s="4"/>
      <c r="E2" s="4"/>
    </row>
    <row r="3" spans="1:9" ht="18.75" x14ac:dyDescent="0.3">
      <c r="A3" s="4"/>
      <c r="B3" s="4"/>
      <c r="C3" s="4"/>
      <c r="D3" s="4"/>
      <c r="E3" s="4"/>
    </row>
    <row r="4" spans="1:9" ht="15.75" x14ac:dyDescent="0.25">
      <c r="A4" s="7" t="s">
        <v>1</v>
      </c>
      <c r="B4" s="412" t="str">
        <f>'1. Institution-wide Data'!$B$4</f>
        <v>University of X</v>
      </c>
      <c r="C4" s="413"/>
      <c r="D4" s="414"/>
    </row>
    <row r="5" spans="1:9" ht="15.75" x14ac:dyDescent="0.25">
      <c r="A5" s="7" t="s">
        <v>0</v>
      </c>
      <c r="B5" s="415" t="str">
        <f>'1. Institution-wide Data'!$B$5</f>
        <v>Invest in Advising Technology</v>
      </c>
      <c r="C5" s="416"/>
      <c r="D5" s="417"/>
    </row>
    <row r="6" spans="1:9" ht="15.75" x14ac:dyDescent="0.25">
      <c r="A6" s="59"/>
      <c r="B6" s="59"/>
    </row>
    <row r="7" spans="1:9" ht="15.75" x14ac:dyDescent="0.25">
      <c r="A7" s="287" t="s">
        <v>82</v>
      </c>
      <c r="B7" s="288"/>
      <c r="C7" s="288"/>
      <c r="D7" s="288"/>
      <c r="E7" s="288"/>
      <c r="F7" s="288"/>
      <c r="G7" s="288"/>
      <c r="H7" s="288"/>
      <c r="I7" s="288"/>
    </row>
    <row r="8" spans="1:9" ht="15.75" x14ac:dyDescent="0.25">
      <c r="A8" s="59"/>
    </row>
    <row r="9" spans="1:9" x14ac:dyDescent="0.25">
      <c r="A9" s="458" t="s">
        <v>390</v>
      </c>
      <c r="B9" s="458"/>
      <c r="C9" s="458"/>
      <c r="D9" s="458"/>
      <c r="E9" s="458"/>
      <c r="F9" s="458"/>
      <c r="G9" s="458"/>
      <c r="H9" s="458"/>
      <c r="I9" s="458"/>
    </row>
    <row r="10" spans="1:9" x14ac:dyDescent="0.25">
      <c r="A10" s="462" t="s">
        <v>224</v>
      </c>
      <c r="B10" s="462"/>
      <c r="C10" s="462"/>
      <c r="D10" s="462"/>
      <c r="E10" s="462"/>
      <c r="F10" s="462"/>
      <c r="G10" s="462"/>
      <c r="H10" s="462"/>
      <c r="I10" s="462"/>
    </row>
    <row r="11" spans="1:9" ht="15" customHeight="1" x14ac:dyDescent="0.25">
      <c r="A11" s="462" t="s">
        <v>110</v>
      </c>
      <c r="B11" s="462"/>
      <c r="C11" s="462"/>
      <c r="D11" s="462"/>
      <c r="E11" s="462"/>
      <c r="F11" s="462"/>
      <c r="G11" s="462"/>
      <c r="H11" s="462"/>
      <c r="I11" s="462"/>
    </row>
    <row r="13" spans="1:9" ht="30" x14ac:dyDescent="0.25">
      <c r="A13" s="11"/>
      <c r="B13" s="11"/>
      <c r="C13" s="34" t="s">
        <v>206</v>
      </c>
      <c r="D13" s="20" t="s">
        <v>3</v>
      </c>
      <c r="E13" s="20" t="s">
        <v>4</v>
      </c>
      <c r="F13" s="20" t="s">
        <v>5</v>
      </c>
      <c r="G13" s="20" t="s">
        <v>6</v>
      </c>
      <c r="H13" s="20" t="s">
        <v>7</v>
      </c>
      <c r="I13" s="21" t="s">
        <v>8</v>
      </c>
    </row>
    <row r="14" spans="1:9" x14ac:dyDescent="0.25">
      <c r="A14" s="8"/>
      <c r="B14" s="8"/>
      <c r="C14" s="16"/>
      <c r="D14" s="16"/>
      <c r="E14" s="16"/>
      <c r="F14" s="16"/>
      <c r="G14" s="16"/>
      <c r="H14" s="16"/>
      <c r="I14" s="16"/>
    </row>
    <row r="15" spans="1:9" x14ac:dyDescent="0.25">
      <c r="A15" s="11" t="s">
        <v>154</v>
      </c>
      <c r="B15" s="11"/>
      <c r="C15" s="258">
        <f t="shared" ref="C15:H15" si="0">SUM(C16:C17)</f>
        <v>158750</v>
      </c>
      <c r="D15" s="258">
        <f t="shared" si="0"/>
        <v>140125</v>
      </c>
      <c r="E15" s="258">
        <f t="shared" si="0"/>
        <v>121527.5</v>
      </c>
      <c r="F15" s="258">
        <f t="shared" si="0"/>
        <v>102958.04999999999</v>
      </c>
      <c r="G15" s="258">
        <f t="shared" si="0"/>
        <v>0</v>
      </c>
      <c r="H15" s="258">
        <f t="shared" si="0"/>
        <v>0</v>
      </c>
      <c r="I15" s="16"/>
    </row>
    <row r="16" spans="1:9" x14ac:dyDescent="0.25">
      <c r="A16" s="70" t="s">
        <v>55</v>
      </c>
      <c r="B16" s="70"/>
      <c r="C16" s="319">
        <v>90000</v>
      </c>
      <c r="D16" s="319">
        <v>70000</v>
      </c>
      <c r="E16" s="319">
        <v>50000</v>
      </c>
      <c r="F16" s="319">
        <v>30000</v>
      </c>
      <c r="G16" s="319"/>
      <c r="H16" s="319"/>
      <c r="I16" s="317" t="s">
        <v>311</v>
      </c>
    </row>
    <row r="17" spans="1:9" ht="80.099999999999994" customHeight="1" x14ac:dyDescent="0.25">
      <c r="A17" s="238" t="s">
        <v>56</v>
      </c>
      <c r="B17" s="225"/>
      <c r="C17" s="318">
        <v>68750</v>
      </c>
      <c r="D17" s="318">
        <v>70125</v>
      </c>
      <c r="E17" s="318">
        <v>71527.5</v>
      </c>
      <c r="F17" s="318">
        <v>72958.049999999988</v>
      </c>
      <c r="G17" s="319"/>
      <c r="H17" s="319"/>
      <c r="I17" s="321" t="s">
        <v>312</v>
      </c>
    </row>
    <row r="18" spans="1:9" ht="15" customHeight="1" x14ac:dyDescent="0.25">
      <c r="A18" s="70"/>
      <c r="B18" s="70"/>
      <c r="C18" s="72"/>
      <c r="D18" s="72"/>
      <c r="E18" s="72"/>
      <c r="F18" s="72"/>
      <c r="G18" s="72"/>
      <c r="H18" s="72"/>
      <c r="I18" s="236"/>
    </row>
    <row r="19" spans="1:9" x14ac:dyDescent="0.25">
      <c r="A19" s="71" t="s">
        <v>155</v>
      </c>
      <c r="B19" s="71"/>
      <c r="C19" s="74">
        <f t="shared" ref="C19:H19" si="1">SUM(C20:C21)</f>
        <v>0</v>
      </c>
      <c r="D19" s="74">
        <f t="shared" si="1"/>
        <v>0</v>
      </c>
      <c r="E19" s="74">
        <f t="shared" si="1"/>
        <v>0</v>
      </c>
      <c r="F19" s="74">
        <f t="shared" si="1"/>
        <v>0</v>
      </c>
      <c r="G19" s="74">
        <f t="shared" si="1"/>
        <v>0</v>
      </c>
      <c r="H19" s="74">
        <f t="shared" si="1"/>
        <v>0</v>
      </c>
      <c r="I19" s="236"/>
    </row>
    <row r="20" spans="1:9" x14ac:dyDescent="0.25">
      <c r="A20" s="70" t="s">
        <v>225</v>
      </c>
      <c r="B20" s="70"/>
      <c r="C20" s="319"/>
      <c r="D20" s="319"/>
      <c r="E20" s="319"/>
      <c r="F20" s="319"/>
      <c r="G20" s="319"/>
      <c r="H20" s="319"/>
      <c r="I20" s="317"/>
    </row>
    <row r="21" spans="1:9" x14ac:dyDescent="0.25">
      <c r="A21" s="70" t="s">
        <v>59</v>
      </c>
      <c r="B21" s="70"/>
      <c r="C21" s="319"/>
      <c r="D21" s="319"/>
      <c r="E21" s="319"/>
      <c r="F21" s="319"/>
      <c r="G21" s="319"/>
      <c r="H21" s="319"/>
      <c r="I21" s="317"/>
    </row>
    <row r="22" spans="1:9" ht="15" customHeight="1" x14ac:dyDescent="0.25">
      <c r="A22" s="70"/>
      <c r="B22" s="70"/>
      <c r="C22" s="72"/>
      <c r="D22" s="72"/>
      <c r="E22" s="72"/>
      <c r="F22" s="72"/>
      <c r="G22" s="72"/>
      <c r="H22" s="72"/>
      <c r="I22" s="236"/>
    </row>
    <row r="23" spans="1:9" x14ac:dyDescent="0.25">
      <c r="A23" s="11" t="s">
        <v>62</v>
      </c>
      <c r="B23" s="11"/>
      <c r="C23" s="74">
        <f t="shared" ref="C23:H23" si="2">SUM(C24:C25)</f>
        <v>100000</v>
      </c>
      <c r="D23" s="74">
        <f t="shared" si="2"/>
        <v>100000</v>
      </c>
      <c r="E23" s="74">
        <f t="shared" si="2"/>
        <v>100000</v>
      </c>
      <c r="F23" s="74">
        <f t="shared" si="2"/>
        <v>100000</v>
      </c>
      <c r="G23" s="74">
        <f t="shared" si="2"/>
        <v>100000</v>
      </c>
      <c r="H23" s="74">
        <f t="shared" si="2"/>
        <v>100000</v>
      </c>
      <c r="I23" s="236"/>
    </row>
    <row r="24" spans="1:9" x14ac:dyDescent="0.25">
      <c r="A24" s="70" t="s">
        <v>57</v>
      </c>
      <c r="B24" s="70"/>
      <c r="C24" s="319">
        <v>100000</v>
      </c>
      <c r="D24" s="355">
        <f t="shared" ref="D24:H25" si="3">C24</f>
        <v>100000</v>
      </c>
      <c r="E24" s="355">
        <f t="shared" si="3"/>
        <v>100000</v>
      </c>
      <c r="F24" s="355">
        <f t="shared" si="3"/>
        <v>100000</v>
      </c>
      <c r="G24" s="355">
        <f t="shared" si="3"/>
        <v>100000</v>
      </c>
      <c r="H24" s="355">
        <f t="shared" si="3"/>
        <v>100000</v>
      </c>
      <c r="I24" s="317"/>
    </row>
    <row r="25" spans="1:9" x14ac:dyDescent="0.25">
      <c r="A25" s="70" t="s">
        <v>58</v>
      </c>
      <c r="B25" s="70"/>
      <c r="C25" s="319"/>
      <c r="D25" s="355">
        <f t="shared" si="3"/>
        <v>0</v>
      </c>
      <c r="E25" s="355">
        <f t="shared" si="3"/>
        <v>0</v>
      </c>
      <c r="F25" s="355">
        <f t="shared" si="3"/>
        <v>0</v>
      </c>
      <c r="G25" s="355">
        <f t="shared" si="3"/>
        <v>0</v>
      </c>
      <c r="H25" s="355">
        <f t="shared" si="3"/>
        <v>0</v>
      </c>
      <c r="I25" s="317"/>
    </row>
    <row r="26" spans="1:9" ht="15" customHeight="1" x14ac:dyDescent="0.25">
      <c r="A26" s="70"/>
      <c r="B26" s="70"/>
      <c r="C26" s="72"/>
      <c r="D26" s="72"/>
      <c r="E26" s="72"/>
      <c r="F26" s="320"/>
      <c r="G26" s="72"/>
      <c r="H26" s="72"/>
      <c r="I26" s="236"/>
    </row>
    <row r="27" spans="1:9" x14ac:dyDescent="0.25">
      <c r="A27" s="11" t="s">
        <v>222</v>
      </c>
      <c r="B27" s="11"/>
      <c r="C27" s="319"/>
      <c r="D27" s="319"/>
      <c r="E27" s="319"/>
      <c r="F27" s="319"/>
      <c r="G27" s="319"/>
      <c r="H27" s="319"/>
      <c r="I27" s="322"/>
    </row>
    <row r="28" spans="1:9" x14ac:dyDescent="0.25">
      <c r="A28" s="16"/>
      <c r="B28" s="16"/>
      <c r="C28" s="16"/>
      <c r="D28" s="16"/>
      <c r="E28" s="16"/>
      <c r="F28" s="16"/>
      <c r="G28" s="16"/>
      <c r="H28" s="16"/>
      <c r="I28" s="16"/>
    </row>
    <row r="29" spans="1:9" ht="15.75" x14ac:dyDescent="0.25">
      <c r="A29" s="287" t="s">
        <v>221</v>
      </c>
      <c r="B29" s="287"/>
      <c r="C29" s="323">
        <f t="shared" ref="C29:H29" si="4">SUM(C15,C19,C23,C27)</f>
        <v>258750</v>
      </c>
      <c r="D29" s="323">
        <f t="shared" si="4"/>
        <v>240125</v>
      </c>
      <c r="E29" s="323">
        <f t="shared" si="4"/>
        <v>221527.5</v>
      </c>
      <c r="F29" s="323">
        <f t="shared" si="4"/>
        <v>202958.05</v>
      </c>
      <c r="G29" s="323">
        <f t="shared" si="4"/>
        <v>100000</v>
      </c>
      <c r="H29" s="323">
        <f t="shared" si="4"/>
        <v>100000</v>
      </c>
    </row>
    <row r="31" spans="1:9" x14ac:dyDescent="0.25">
      <c r="A31" s="464" t="s">
        <v>223</v>
      </c>
      <c r="B31" s="464"/>
    </row>
    <row r="32" spans="1:9" x14ac:dyDescent="0.25">
      <c r="A32" s="463"/>
      <c r="B32" s="463"/>
    </row>
    <row r="33" spans="1:2" x14ac:dyDescent="0.25">
      <c r="A33" s="463"/>
      <c r="B33" s="463"/>
    </row>
    <row r="34" spans="1:2" x14ac:dyDescent="0.25">
      <c r="A34" s="463"/>
      <c r="B34" s="463"/>
    </row>
    <row r="35" spans="1:2" x14ac:dyDescent="0.25">
      <c r="A35" s="463"/>
      <c r="B35" s="463"/>
    </row>
    <row r="36" spans="1:2" x14ac:dyDescent="0.25">
      <c r="A36" s="463"/>
      <c r="B36" s="463"/>
    </row>
    <row r="37" spans="1:2" x14ac:dyDescent="0.25">
      <c r="A37" s="463"/>
      <c r="B37" s="463"/>
    </row>
  </sheetData>
  <sheetProtection algorithmName="SHA-512" hashValue="ZCAk8LXS6A5ASj8SqODdz7YsJ8s9uMZLikJbwm/HTLkYeSdS8K07okj1GkhICUsHn+1KW/ah8w18CkHb6vIa2w==" saltValue="oyXxuFhhkaH0FgliLneUZQ==" spinCount="100000" sheet="1" formatColumns="0" formatRows="0" insertColumns="0" insertRows="0" pivotTables="0"/>
  <mergeCells count="7">
    <mergeCell ref="B4:D4"/>
    <mergeCell ref="B5:D5"/>
    <mergeCell ref="A11:I11"/>
    <mergeCell ref="A9:I9"/>
    <mergeCell ref="A32:B37"/>
    <mergeCell ref="A31:B31"/>
    <mergeCell ref="A10:I10"/>
  </mergeCells>
  <pageMargins left="0.7" right="0.7" top="0.75" bottom="0.75" header="0.3" footer="0.3"/>
  <pageSetup scale="6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E60"/>
  <sheetViews>
    <sheetView workbookViewId="0"/>
  </sheetViews>
  <sheetFormatPr defaultColWidth="9.140625" defaultRowHeight="15" x14ac:dyDescent="0.25"/>
  <cols>
    <col min="1" max="1" width="10.7109375" style="3" customWidth="1"/>
    <col min="2" max="2" width="31.42578125" style="3" customWidth="1"/>
    <col min="3" max="3" width="14" style="3" customWidth="1"/>
    <col min="4" max="4" width="13.42578125" style="3" customWidth="1"/>
    <col min="5" max="5" width="13.7109375" style="3" customWidth="1"/>
    <col min="6" max="6" width="13.42578125" style="3" customWidth="1"/>
    <col min="7" max="10" width="8.140625" style="3" customWidth="1"/>
    <col min="11" max="12" width="8.140625" style="3" hidden="1" customWidth="1"/>
    <col min="13" max="16" width="14.28515625" style="3" customWidth="1"/>
    <col min="17" max="18" width="14.28515625" style="3" hidden="1" customWidth="1"/>
    <col min="19" max="19" width="42.7109375" style="3" customWidth="1"/>
    <col min="20" max="22" width="9.140625" style="3" customWidth="1"/>
    <col min="23" max="23" width="9.140625" style="3" hidden="1" customWidth="1"/>
    <col min="24" max="24" width="14" style="3" hidden="1" customWidth="1"/>
    <col min="25" max="25" width="9.140625" style="3" hidden="1" customWidth="1"/>
    <col min="26" max="26" width="10.140625" style="3" hidden="1" customWidth="1"/>
    <col min="27" max="31" width="9.140625" style="3" hidden="1" customWidth="1"/>
    <col min="32" max="32" width="9.140625" style="3" customWidth="1"/>
    <col min="33" max="16384" width="9.140625" style="3"/>
  </cols>
  <sheetData>
    <row r="1" spans="1:31" ht="18.75" x14ac:dyDescent="0.3">
      <c r="A1" s="4" t="s">
        <v>343</v>
      </c>
      <c r="B1" s="4"/>
      <c r="C1" s="4"/>
      <c r="D1" s="4"/>
      <c r="E1" s="4"/>
      <c r="F1" s="4"/>
    </row>
    <row r="2" spans="1:31" ht="18.75" x14ac:dyDescent="0.3">
      <c r="A2" s="31" t="s">
        <v>405</v>
      </c>
      <c r="B2" s="4"/>
      <c r="C2" s="4"/>
      <c r="D2" s="4"/>
      <c r="E2" s="4"/>
      <c r="F2" s="4"/>
    </row>
    <row r="3" spans="1:31" ht="15" customHeight="1" x14ac:dyDescent="0.3">
      <c r="A3" s="4"/>
      <c r="B3" s="4"/>
      <c r="C3" s="4"/>
      <c r="D3" s="4"/>
      <c r="E3" s="4"/>
      <c r="F3" s="4"/>
    </row>
    <row r="4" spans="1:31" ht="15.75" x14ac:dyDescent="0.25">
      <c r="A4" s="7" t="s">
        <v>1</v>
      </c>
      <c r="B4" s="412" t="str">
        <f>'1. Institution-wide Data'!$B$4</f>
        <v>University of X</v>
      </c>
      <c r="C4" s="413"/>
      <c r="D4" s="414"/>
      <c r="E4" s="44"/>
      <c r="F4" s="44"/>
      <c r="G4" s="44"/>
      <c r="H4" s="44"/>
      <c r="I4" s="44"/>
      <c r="J4" s="44"/>
      <c r="K4" s="44"/>
      <c r="L4" s="44"/>
    </row>
    <row r="5" spans="1:31" ht="15.75" x14ac:dyDescent="0.25">
      <c r="A5" s="7" t="s">
        <v>0</v>
      </c>
      <c r="B5" s="415" t="str">
        <f>'1. Institution-wide Data'!$B$5</f>
        <v>Invest in Advising Technology</v>
      </c>
      <c r="C5" s="416"/>
      <c r="D5" s="417"/>
      <c r="E5" s="44"/>
      <c r="F5" s="44"/>
      <c r="G5" s="44"/>
      <c r="H5" s="44"/>
      <c r="I5" s="44"/>
      <c r="J5" s="44"/>
      <c r="K5" s="44"/>
      <c r="L5" s="44"/>
    </row>
    <row r="7" spans="1:31" ht="15.75" x14ac:dyDescent="0.25">
      <c r="A7" s="287" t="s">
        <v>79</v>
      </c>
      <c r="B7" s="288"/>
      <c r="C7" s="288"/>
      <c r="D7" s="288"/>
      <c r="E7" s="288"/>
      <c r="F7" s="288"/>
      <c r="G7" s="288"/>
      <c r="H7" s="288"/>
      <c r="I7" s="288"/>
      <c r="J7" s="288"/>
      <c r="K7" s="288"/>
      <c r="L7" s="288"/>
      <c r="M7" s="288"/>
      <c r="N7" s="288"/>
      <c r="O7" s="288"/>
      <c r="P7" s="288"/>
      <c r="Q7" s="288"/>
      <c r="R7" s="288"/>
      <c r="S7" s="288"/>
    </row>
    <row r="9" spans="1:31" x14ac:dyDescent="0.25">
      <c r="A9" s="458" t="s">
        <v>391</v>
      </c>
      <c r="B9" s="458"/>
      <c r="C9" s="458"/>
      <c r="D9" s="458"/>
      <c r="E9" s="458"/>
      <c r="F9" s="458"/>
      <c r="G9" s="458"/>
      <c r="H9" s="458"/>
      <c r="I9" s="458"/>
      <c r="J9" s="458"/>
      <c r="K9" s="458"/>
      <c r="L9" s="458"/>
      <c r="M9" s="458"/>
      <c r="N9" s="458"/>
      <c r="O9" s="458"/>
      <c r="P9" s="458"/>
      <c r="Q9" s="286"/>
      <c r="R9" s="286"/>
      <c r="S9" s="286"/>
    </row>
    <row r="10" spans="1:31" ht="15" customHeight="1" x14ac:dyDescent="0.25">
      <c r="A10" s="474" t="s">
        <v>215</v>
      </c>
      <c r="B10" s="474"/>
      <c r="C10" s="474"/>
      <c r="D10" s="474"/>
      <c r="E10" s="474"/>
      <c r="F10" s="474"/>
      <c r="G10" s="474"/>
      <c r="H10" s="474"/>
      <c r="I10" s="474"/>
      <c r="J10" s="474"/>
      <c r="K10" s="474"/>
      <c r="L10" s="474"/>
      <c r="M10" s="474"/>
      <c r="N10" s="474"/>
      <c r="O10" s="474"/>
      <c r="P10" s="474"/>
      <c r="Q10" s="474"/>
      <c r="R10" s="474"/>
      <c r="S10" s="474"/>
    </row>
    <row r="11" spans="1:31" ht="15" customHeight="1" x14ac:dyDescent="0.25">
      <c r="A11" s="462" t="s">
        <v>110</v>
      </c>
      <c r="B11" s="462"/>
      <c r="C11" s="462"/>
      <c r="D11" s="462"/>
      <c r="E11" s="462"/>
      <c r="F11" s="462"/>
      <c r="G11" s="462"/>
      <c r="H11" s="462"/>
      <c r="I11" s="462"/>
      <c r="J11" s="462"/>
      <c r="K11" s="462"/>
      <c r="L11" s="462"/>
      <c r="M11" s="462"/>
      <c r="N11" s="462"/>
      <c r="O11" s="462"/>
      <c r="P11" s="462"/>
      <c r="Q11" s="286"/>
      <c r="R11" s="286"/>
      <c r="S11" s="286"/>
    </row>
    <row r="13" spans="1:31" ht="15.75" x14ac:dyDescent="0.25">
      <c r="A13" s="287" t="s">
        <v>81</v>
      </c>
      <c r="B13" s="287"/>
      <c r="C13" s="288"/>
      <c r="D13" s="288"/>
      <c r="E13" s="288"/>
      <c r="F13" s="288"/>
      <c r="G13" s="288"/>
      <c r="H13" s="288"/>
      <c r="I13" s="288"/>
      <c r="J13" s="288"/>
      <c r="K13" s="288"/>
      <c r="L13" s="288"/>
      <c r="M13" s="288"/>
      <c r="N13" s="288"/>
      <c r="O13" s="288"/>
      <c r="P13" s="288"/>
      <c r="Q13" s="288"/>
      <c r="R13" s="288"/>
      <c r="S13" s="288"/>
      <c r="W13" s="40">
        <f>'1. Institution-wide Data'!C40</f>
        <v>0.25</v>
      </c>
      <c r="X13" s="3" t="s">
        <v>40</v>
      </c>
    </row>
    <row r="14" spans="1:31" ht="15.75" x14ac:dyDescent="0.25">
      <c r="A14" s="43"/>
      <c r="B14" s="43"/>
      <c r="C14" s="16"/>
      <c r="D14" s="16"/>
      <c r="E14" s="16"/>
      <c r="F14" s="16"/>
      <c r="G14" s="465" t="s">
        <v>31</v>
      </c>
      <c r="H14" s="465"/>
      <c r="I14" s="465"/>
      <c r="J14" s="465"/>
      <c r="K14" s="465"/>
      <c r="L14" s="465"/>
      <c r="M14" s="16"/>
      <c r="N14" s="16"/>
      <c r="O14" s="16"/>
      <c r="P14" s="16"/>
      <c r="Q14" s="16"/>
      <c r="R14" s="16"/>
      <c r="S14" s="16"/>
      <c r="W14" s="41">
        <f>'1. Institution-wide Data'!C41</f>
        <v>7.6499999999999999E-2</v>
      </c>
      <c r="X14" s="3" t="s">
        <v>41</v>
      </c>
      <c r="Y14" s="204" t="s">
        <v>156</v>
      </c>
    </row>
    <row r="15" spans="1:31" ht="60" x14ac:dyDescent="0.25">
      <c r="A15" s="33" t="s">
        <v>29</v>
      </c>
      <c r="B15" s="33"/>
      <c r="C15" s="34"/>
      <c r="D15" s="34" t="s">
        <v>236</v>
      </c>
      <c r="E15" s="34" t="s">
        <v>397</v>
      </c>
      <c r="F15" s="35" t="s">
        <v>30</v>
      </c>
      <c r="G15" s="34" t="s">
        <v>206</v>
      </c>
      <c r="H15" s="20" t="s">
        <v>3</v>
      </c>
      <c r="I15" s="20" t="s">
        <v>4</v>
      </c>
      <c r="J15" s="20" t="s">
        <v>5</v>
      </c>
      <c r="K15" s="20" t="s">
        <v>6</v>
      </c>
      <c r="L15" s="20" t="s">
        <v>7</v>
      </c>
      <c r="M15" s="34" t="s">
        <v>206</v>
      </c>
      <c r="N15" s="20" t="s">
        <v>3</v>
      </c>
      <c r="O15" s="20" t="s">
        <v>4</v>
      </c>
      <c r="P15" s="20" t="s">
        <v>5</v>
      </c>
      <c r="Q15" s="20" t="s">
        <v>6</v>
      </c>
      <c r="R15" s="20" t="s">
        <v>7</v>
      </c>
      <c r="S15" s="21" t="s">
        <v>8</v>
      </c>
      <c r="W15" s="3" t="s">
        <v>42</v>
      </c>
      <c r="X15" s="3" t="s">
        <v>43</v>
      </c>
      <c r="Z15" s="34" t="s">
        <v>206</v>
      </c>
      <c r="AA15" s="20" t="s">
        <v>3</v>
      </c>
      <c r="AB15" s="20" t="s">
        <v>4</v>
      </c>
      <c r="AC15" s="20" t="s">
        <v>5</v>
      </c>
      <c r="AD15" s="20" t="s">
        <v>6</v>
      </c>
      <c r="AE15" s="20" t="s">
        <v>7</v>
      </c>
    </row>
    <row r="16" spans="1:31" s="31" customFormat="1" x14ac:dyDescent="0.25">
      <c r="A16" s="471" t="s">
        <v>34</v>
      </c>
      <c r="B16" s="472"/>
      <c r="C16" s="473"/>
      <c r="D16" s="358">
        <v>100000</v>
      </c>
      <c r="E16" s="359" t="s">
        <v>38</v>
      </c>
      <c r="F16" s="360">
        <v>1</v>
      </c>
      <c r="G16" s="361">
        <v>0.05</v>
      </c>
      <c r="H16" s="356">
        <v>0.05</v>
      </c>
      <c r="I16" s="356">
        <v>0.05</v>
      </c>
      <c r="J16" s="356">
        <v>0.05</v>
      </c>
      <c r="K16" s="356">
        <v>0.05</v>
      </c>
      <c r="L16" s="357">
        <v>0.05</v>
      </c>
      <c r="M16" s="201">
        <f>(D16*F16)*G16</f>
        <v>5000</v>
      </c>
      <c r="N16" s="37">
        <f>(($D16*$W$16)*$F16)*H16</f>
        <v>5100</v>
      </c>
      <c r="O16" s="37">
        <f>((($D16*($W$16^2))*$F16)*I16)</f>
        <v>5202</v>
      </c>
      <c r="P16" s="37">
        <f>((($D16*($W$16^3))*$F16)*J16)</f>
        <v>5306.04</v>
      </c>
      <c r="Q16" s="37">
        <f>((($D16*($W$16^4))*$F16)*K16)</f>
        <v>5412.1608000000006</v>
      </c>
      <c r="R16" s="37">
        <f>((($D16*($W$16^5))*$F16)*L16)</f>
        <v>5520.4040160000004</v>
      </c>
      <c r="S16" s="333"/>
      <c r="W16" s="38">
        <v>1.02</v>
      </c>
      <c r="X16" s="38" t="s">
        <v>38</v>
      </c>
      <c r="Z16" s="203" t="s">
        <v>239</v>
      </c>
    </row>
    <row r="17" spans="1:31" s="31" customFormat="1" x14ac:dyDescent="0.25">
      <c r="A17" s="468" t="s">
        <v>315</v>
      </c>
      <c r="B17" s="469"/>
      <c r="C17" s="470"/>
      <c r="D17" s="324">
        <v>100000</v>
      </c>
      <c r="E17" s="326" t="s">
        <v>38</v>
      </c>
      <c r="F17" s="327">
        <v>1</v>
      </c>
      <c r="G17" s="328">
        <v>0.1</v>
      </c>
      <c r="H17" s="331">
        <v>0.1</v>
      </c>
      <c r="I17" s="331">
        <v>0.1</v>
      </c>
      <c r="J17" s="331">
        <v>0.1</v>
      </c>
      <c r="K17" s="329"/>
      <c r="L17" s="362"/>
      <c r="M17" s="202">
        <f t="shared" ref="M17:M31" si="0">(D17*F17)*G17</f>
        <v>10000</v>
      </c>
      <c r="N17" s="32">
        <f t="shared" ref="N17:N31" si="1">(($D17*$W$16)*$F17)*H17</f>
        <v>10200</v>
      </c>
      <c r="O17" s="32">
        <f t="shared" ref="O17:O31" si="2">((($D17*($W$16^2))*$F17)*I17)</f>
        <v>10404</v>
      </c>
      <c r="P17" s="32">
        <f t="shared" ref="P17:P31" si="3">((($D17*($W$16^3))*$F17)*J17)</f>
        <v>10612.08</v>
      </c>
      <c r="Q17" s="32">
        <f t="shared" ref="Q17:Q31" si="4">((($D17*($W$16^4))*$F17)*K17)</f>
        <v>0</v>
      </c>
      <c r="R17" s="32">
        <f t="shared" ref="R17:R31" si="5">((($D17*($W$16^5))*$F17)*L17)</f>
        <v>0</v>
      </c>
      <c r="S17" s="333"/>
      <c r="X17" s="38" t="s">
        <v>39</v>
      </c>
      <c r="Z17" s="209">
        <f>IF($E17="Yes",(('1. Institution-wide Data'!$C$42*G17)*$F17),0)</f>
        <v>0</v>
      </c>
      <c r="AA17" s="209">
        <f>IF($E17="Yes",(('1. Institution-wide Data'!$C$42*H17)*$F17),0)</f>
        <v>0</v>
      </c>
      <c r="AB17" s="209">
        <f>IF($E17="Yes",(('1. Institution-wide Data'!$C$42*I17)*$F17),0)</f>
        <v>0</v>
      </c>
      <c r="AC17" s="209">
        <f>IF($E17="Yes",(('1. Institution-wide Data'!$C$42*J17)*$F17),0)</f>
        <v>0</v>
      </c>
      <c r="AD17" s="209">
        <f>IF($E17="Yes",(('1. Institution-wide Data'!$C$42*K17)*$F17),0)</f>
        <v>0</v>
      </c>
      <c r="AE17" s="209">
        <f>IF($E17="Yes",(('1. Institution-wide Data'!$C$42*L17)*$F17),0)</f>
        <v>0</v>
      </c>
    </row>
    <row r="18" spans="1:31" s="31" customFormat="1" x14ac:dyDescent="0.25">
      <c r="A18" s="468" t="s">
        <v>316</v>
      </c>
      <c r="B18" s="469"/>
      <c r="C18" s="470"/>
      <c r="D18" s="324">
        <v>75000</v>
      </c>
      <c r="E18" s="326" t="s">
        <v>38</v>
      </c>
      <c r="F18" s="327">
        <v>1</v>
      </c>
      <c r="G18" s="328">
        <v>0.5</v>
      </c>
      <c r="H18" s="331">
        <v>0.5</v>
      </c>
      <c r="I18" s="331">
        <v>0.5</v>
      </c>
      <c r="J18" s="331">
        <v>0.5</v>
      </c>
      <c r="K18" s="329"/>
      <c r="L18" s="362"/>
      <c r="M18" s="202">
        <f t="shared" si="0"/>
        <v>37500</v>
      </c>
      <c r="N18" s="32">
        <f t="shared" si="1"/>
        <v>38250</v>
      </c>
      <c r="O18" s="32">
        <f t="shared" si="2"/>
        <v>39015</v>
      </c>
      <c r="P18" s="32">
        <f t="shared" si="3"/>
        <v>39795.299999999996</v>
      </c>
      <c r="Q18" s="32">
        <f t="shared" si="4"/>
        <v>0</v>
      </c>
      <c r="R18" s="32">
        <f t="shared" si="5"/>
        <v>0</v>
      </c>
      <c r="S18" s="333"/>
      <c r="Z18" s="209">
        <f>IF($E18="Yes",(('1. Institution-wide Data'!$C$42*G18)*$F18),0)</f>
        <v>0</v>
      </c>
      <c r="AA18" s="209">
        <f>IF($E18="Yes",(('1. Institution-wide Data'!$C$42*H18)*$F18),0)</f>
        <v>0</v>
      </c>
      <c r="AB18" s="209">
        <f>IF($E18="Yes",(('1. Institution-wide Data'!$C$42*I18)*$F18),0)</f>
        <v>0</v>
      </c>
      <c r="AC18" s="209">
        <f>IF($E18="Yes",(('1. Institution-wide Data'!$C$42*J18)*$F18),0)</f>
        <v>0</v>
      </c>
      <c r="AD18" s="209">
        <f>IF($E18="Yes",(('1. Institution-wide Data'!$C$42*K18)*$F18),0)</f>
        <v>0</v>
      </c>
      <c r="AE18" s="209">
        <f>IF($E18="Yes",(('1. Institution-wide Data'!$C$42*L18)*$F18),0)</f>
        <v>0</v>
      </c>
    </row>
    <row r="19" spans="1:31" s="31" customFormat="1" x14ac:dyDescent="0.25">
      <c r="A19" s="468" t="s">
        <v>317</v>
      </c>
      <c r="B19" s="469"/>
      <c r="C19" s="470"/>
      <c r="D19" s="324">
        <v>60000</v>
      </c>
      <c r="E19" s="326" t="s">
        <v>38</v>
      </c>
      <c r="F19" s="327">
        <v>3</v>
      </c>
      <c r="G19" s="328">
        <v>0.5</v>
      </c>
      <c r="H19" s="331">
        <v>0.5</v>
      </c>
      <c r="I19" s="331">
        <v>0.5</v>
      </c>
      <c r="J19" s="331">
        <v>0.5</v>
      </c>
      <c r="K19" s="329"/>
      <c r="L19" s="362"/>
      <c r="M19" s="202">
        <f t="shared" si="0"/>
        <v>90000</v>
      </c>
      <c r="N19" s="32">
        <f t="shared" si="1"/>
        <v>91800</v>
      </c>
      <c r="O19" s="32">
        <f t="shared" si="2"/>
        <v>93636</v>
      </c>
      <c r="P19" s="32">
        <f t="shared" si="3"/>
        <v>95508.72</v>
      </c>
      <c r="Q19" s="32">
        <f t="shared" si="4"/>
        <v>0</v>
      </c>
      <c r="R19" s="32">
        <f t="shared" si="5"/>
        <v>0</v>
      </c>
      <c r="S19" s="333"/>
      <c r="Z19" s="209">
        <f>IF($E19="Yes",(('1. Institution-wide Data'!$C$42*G19)*$F19),0)</f>
        <v>0</v>
      </c>
      <c r="AA19" s="209">
        <f>IF($E19="Yes",(('1. Institution-wide Data'!$C$42*H19)*$F19),0)</f>
        <v>0</v>
      </c>
      <c r="AB19" s="209">
        <f>IF($E19="Yes",(('1. Institution-wide Data'!$C$42*I19)*$F19),0)</f>
        <v>0</v>
      </c>
      <c r="AC19" s="209">
        <f>IF($E19="Yes",(('1. Institution-wide Data'!$C$42*J19)*$F19),0)</f>
        <v>0</v>
      </c>
      <c r="AD19" s="209">
        <f>IF($E19="Yes",(('1. Institution-wide Data'!$C$42*K19)*$F19),0)</f>
        <v>0</v>
      </c>
      <c r="AE19" s="209">
        <f>IF($E19="Yes",(('1. Institution-wide Data'!$C$42*L19)*$F19),0)</f>
        <v>0</v>
      </c>
    </row>
    <row r="20" spans="1:31" s="31" customFormat="1" x14ac:dyDescent="0.25">
      <c r="A20" s="468" t="s">
        <v>318</v>
      </c>
      <c r="B20" s="469"/>
      <c r="C20" s="470"/>
      <c r="D20" s="324">
        <v>75000</v>
      </c>
      <c r="E20" s="326" t="s">
        <v>38</v>
      </c>
      <c r="F20" s="327">
        <v>2</v>
      </c>
      <c r="G20" s="328">
        <v>0.05</v>
      </c>
      <c r="H20" s="331">
        <v>0.05</v>
      </c>
      <c r="I20" s="331">
        <v>0.05</v>
      </c>
      <c r="J20" s="331">
        <v>0.05</v>
      </c>
      <c r="K20" s="329"/>
      <c r="L20" s="362"/>
      <c r="M20" s="202">
        <f t="shared" si="0"/>
        <v>7500</v>
      </c>
      <c r="N20" s="32">
        <f t="shared" si="1"/>
        <v>7650</v>
      </c>
      <c r="O20" s="32">
        <f t="shared" si="2"/>
        <v>7803</v>
      </c>
      <c r="P20" s="32">
        <f t="shared" si="3"/>
        <v>7959.0599999999995</v>
      </c>
      <c r="Q20" s="32">
        <f t="shared" si="4"/>
        <v>0</v>
      </c>
      <c r="R20" s="32">
        <f t="shared" si="5"/>
        <v>0</v>
      </c>
      <c r="S20" s="333"/>
      <c r="Z20" s="209">
        <f>IF($E20="Yes",(('1. Institution-wide Data'!$C$42*G20)*$F20),0)</f>
        <v>0</v>
      </c>
      <c r="AA20" s="209">
        <f>IF($E20="Yes",(('1. Institution-wide Data'!$C$42*H20)*$F20),0)</f>
        <v>0</v>
      </c>
      <c r="AB20" s="209">
        <f>IF($E20="Yes",(('1. Institution-wide Data'!$C$42*I20)*$F20),0)</f>
        <v>0</v>
      </c>
      <c r="AC20" s="209">
        <f>IF($E20="Yes",(('1. Institution-wide Data'!$C$42*J20)*$F20),0)</f>
        <v>0</v>
      </c>
      <c r="AD20" s="209">
        <f>IF($E20="Yes",(('1. Institution-wide Data'!$C$42*K20)*$F20),0)</f>
        <v>0</v>
      </c>
      <c r="AE20" s="209">
        <f>IF($E20="Yes",(('1. Institution-wide Data'!$C$42*L20)*$F20),0)</f>
        <v>0</v>
      </c>
    </row>
    <row r="21" spans="1:31" s="31" customFormat="1" x14ac:dyDescent="0.25">
      <c r="A21" s="468" t="s">
        <v>23</v>
      </c>
      <c r="B21" s="469"/>
      <c r="C21" s="470"/>
      <c r="D21" s="324"/>
      <c r="E21" s="326"/>
      <c r="F21" s="327"/>
      <c r="G21" s="328"/>
      <c r="H21" s="331"/>
      <c r="I21" s="331"/>
      <c r="J21" s="331"/>
      <c r="K21" s="329"/>
      <c r="L21" s="362"/>
      <c r="M21" s="202">
        <f t="shared" si="0"/>
        <v>0</v>
      </c>
      <c r="N21" s="32">
        <f t="shared" si="1"/>
        <v>0</v>
      </c>
      <c r="O21" s="32">
        <f t="shared" si="2"/>
        <v>0</v>
      </c>
      <c r="P21" s="32">
        <f t="shared" si="3"/>
        <v>0</v>
      </c>
      <c r="Q21" s="32">
        <f t="shared" si="4"/>
        <v>0</v>
      </c>
      <c r="R21" s="32">
        <f t="shared" si="5"/>
        <v>0</v>
      </c>
      <c r="S21" s="333"/>
      <c r="Z21" s="209">
        <f>IF($E21="Yes",(('1. Institution-wide Data'!$C$42*G21)*$F21),0)</f>
        <v>0</v>
      </c>
      <c r="AA21" s="209">
        <f>IF($E21="Yes",(('1. Institution-wide Data'!$C$42*H21)*$F21),0)</f>
        <v>0</v>
      </c>
      <c r="AB21" s="209">
        <f>IF($E21="Yes",(('1. Institution-wide Data'!$C$42*I21)*$F21),0)</f>
        <v>0</v>
      </c>
      <c r="AC21" s="209">
        <f>IF($E21="Yes",(('1. Institution-wide Data'!$C$42*J21)*$F21),0)</f>
        <v>0</v>
      </c>
      <c r="AD21" s="209">
        <f>IF($E21="Yes",(('1. Institution-wide Data'!$C$42*K21)*$F21),0)</f>
        <v>0</v>
      </c>
      <c r="AE21" s="209">
        <f>IF($E21="Yes",(('1. Institution-wide Data'!$C$42*L21)*$F21),0)</f>
        <v>0</v>
      </c>
    </row>
    <row r="22" spans="1:31" s="31" customFormat="1" x14ac:dyDescent="0.25">
      <c r="A22" s="468" t="s">
        <v>24</v>
      </c>
      <c r="B22" s="469"/>
      <c r="C22" s="470"/>
      <c r="D22" s="324"/>
      <c r="E22" s="326"/>
      <c r="F22" s="327"/>
      <c r="G22" s="328"/>
      <c r="H22" s="331"/>
      <c r="I22" s="329"/>
      <c r="J22" s="331"/>
      <c r="K22" s="329"/>
      <c r="L22" s="362"/>
      <c r="M22" s="202">
        <f t="shared" si="0"/>
        <v>0</v>
      </c>
      <c r="N22" s="32">
        <f t="shared" si="1"/>
        <v>0</v>
      </c>
      <c r="O22" s="32">
        <f t="shared" si="2"/>
        <v>0</v>
      </c>
      <c r="P22" s="32">
        <f t="shared" si="3"/>
        <v>0</v>
      </c>
      <c r="Q22" s="32">
        <f t="shared" si="4"/>
        <v>0</v>
      </c>
      <c r="R22" s="32">
        <f t="shared" si="5"/>
        <v>0</v>
      </c>
      <c r="S22" s="333"/>
      <c r="Z22" s="209">
        <f>IF($E22="Yes",(('1. Institution-wide Data'!$C$42*G22)*$F22),0)</f>
        <v>0</v>
      </c>
      <c r="AA22" s="209">
        <f>IF($E22="Yes",(('1. Institution-wide Data'!$C$42*H22)*$F22),0)</f>
        <v>0</v>
      </c>
      <c r="AB22" s="209">
        <f>IF($E22="Yes",(('1. Institution-wide Data'!$C$42*I22)*$F22),0)</f>
        <v>0</v>
      </c>
      <c r="AC22" s="209">
        <f>IF($E22="Yes",(('1. Institution-wide Data'!$C$42*J22)*$F22),0)</f>
        <v>0</v>
      </c>
      <c r="AD22" s="209">
        <f>IF($E22="Yes",(('1. Institution-wide Data'!$C$42*K22)*$F22),0)</f>
        <v>0</v>
      </c>
      <c r="AE22" s="209">
        <f>IF($E22="Yes",(('1. Institution-wide Data'!$C$42*L22)*$F22),0)</f>
        <v>0</v>
      </c>
    </row>
    <row r="23" spans="1:31" s="31" customFormat="1" x14ac:dyDescent="0.25">
      <c r="A23" s="468" t="s">
        <v>25</v>
      </c>
      <c r="B23" s="469"/>
      <c r="C23" s="470"/>
      <c r="D23" s="324"/>
      <c r="E23" s="326"/>
      <c r="F23" s="327"/>
      <c r="G23" s="328"/>
      <c r="H23" s="331"/>
      <c r="I23" s="329"/>
      <c r="J23" s="331"/>
      <c r="K23" s="329"/>
      <c r="L23" s="362"/>
      <c r="M23" s="202">
        <f t="shared" si="0"/>
        <v>0</v>
      </c>
      <c r="N23" s="32">
        <f t="shared" si="1"/>
        <v>0</v>
      </c>
      <c r="O23" s="32">
        <f t="shared" si="2"/>
        <v>0</v>
      </c>
      <c r="P23" s="32">
        <f t="shared" si="3"/>
        <v>0</v>
      </c>
      <c r="Q23" s="32">
        <f t="shared" si="4"/>
        <v>0</v>
      </c>
      <c r="R23" s="32">
        <f t="shared" si="5"/>
        <v>0</v>
      </c>
      <c r="S23" s="333"/>
      <c r="Z23" s="209">
        <f>IF($E23="Yes",(('1. Institution-wide Data'!$C$42*G23)*$F23),0)</f>
        <v>0</v>
      </c>
      <c r="AA23" s="209">
        <f>IF($E23="Yes",(('1. Institution-wide Data'!$C$42*H23)*$F23),0)</f>
        <v>0</v>
      </c>
      <c r="AB23" s="209">
        <f>IF($E23="Yes",(('1. Institution-wide Data'!$C$42*I23)*$F23),0)</f>
        <v>0</v>
      </c>
      <c r="AC23" s="209">
        <f>IF($E23="Yes",(('1. Institution-wide Data'!$C$42*J23)*$F23),0)</f>
        <v>0</v>
      </c>
      <c r="AD23" s="209">
        <f>IF($E23="Yes",(('1. Institution-wide Data'!$C$42*K23)*$F23),0)</f>
        <v>0</v>
      </c>
      <c r="AE23" s="209">
        <f>IF($E23="Yes",(('1. Institution-wide Data'!$C$42*L23)*$F23),0)</f>
        <v>0</v>
      </c>
    </row>
    <row r="24" spans="1:31" s="31" customFormat="1" x14ac:dyDescent="0.25">
      <c r="A24" s="468" t="s">
        <v>26</v>
      </c>
      <c r="B24" s="469"/>
      <c r="C24" s="470"/>
      <c r="D24" s="324"/>
      <c r="E24" s="326"/>
      <c r="F24" s="327"/>
      <c r="G24" s="328"/>
      <c r="H24" s="331"/>
      <c r="I24" s="329"/>
      <c r="J24" s="331"/>
      <c r="K24" s="329"/>
      <c r="L24" s="362"/>
      <c r="M24" s="202">
        <f t="shared" si="0"/>
        <v>0</v>
      </c>
      <c r="N24" s="32">
        <f t="shared" si="1"/>
        <v>0</v>
      </c>
      <c r="O24" s="32">
        <f t="shared" si="2"/>
        <v>0</v>
      </c>
      <c r="P24" s="32">
        <f t="shared" si="3"/>
        <v>0</v>
      </c>
      <c r="Q24" s="32">
        <f t="shared" si="4"/>
        <v>0</v>
      </c>
      <c r="R24" s="32">
        <f t="shared" si="5"/>
        <v>0</v>
      </c>
      <c r="S24" s="333"/>
      <c r="Z24" s="209">
        <f>IF($E24="Yes",(('1. Institution-wide Data'!$C$42*G24)*$F24),0)</f>
        <v>0</v>
      </c>
      <c r="AA24" s="209">
        <f>IF($E24="Yes",(('1. Institution-wide Data'!$C$42*H24)*$F24),0)</f>
        <v>0</v>
      </c>
      <c r="AB24" s="209">
        <f>IF($E24="Yes",(('1. Institution-wide Data'!$C$42*I24)*$F24),0)</f>
        <v>0</v>
      </c>
      <c r="AC24" s="209">
        <f>IF($E24="Yes",(('1. Institution-wide Data'!$C$42*J24)*$F24),0)</f>
        <v>0</v>
      </c>
      <c r="AD24" s="209">
        <f>IF($E24="Yes",(('1. Institution-wide Data'!$C$42*K24)*$F24),0)</f>
        <v>0</v>
      </c>
      <c r="AE24" s="209">
        <f>IF($E24="Yes",(('1. Institution-wide Data'!$C$42*L24)*$F24),0)</f>
        <v>0</v>
      </c>
    </row>
    <row r="25" spans="1:31" s="31" customFormat="1" x14ac:dyDescent="0.25">
      <c r="A25" s="468" t="s">
        <v>27</v>
      </c>
      <c r="B25" s="469"/>
      <c r="C25" s="470"/>
      <c r="D25" s="324"/>
      <c r="E25" s="326"/>
      <c r="F25" s="327"/>
      <c r="G25" s="328"/>
      <c r="H25" s="331"/>
      <c r="I25" s="329"/>
      <c r="J25" s="331"/>
      <c r="K25" s="329"/>
      <c r="L25" s="362"/>
      <c r="M25" s="202">
        <f t="shared" si="0"/>
        <v>0</v>
      </c>
      <c r="N25" s="32">
        <f t="shared" si="1"/>
        <v>0</v>
      </c>
      <c r="O25" s="32">
        <f t="shared" si="2"/>
        <v>0</v>
      </c>
      <c r="P25" s="32">
        <f t="shared" si="3"/>
        <v>0</v>
      </c>
      <c r="Q25" s="32">
        <f t="shared" si="4"/>
        <v>0</v>
      </c>
      <c r="R25" s="32">
        <f t="shared" si="5"/>
        <v>0</v>
      </c>
      <c r="S25" s="333"/>
      <c r="Z25" s="209">
        <f>IF($E25="Yes",(('1. Institution-wide Data'!$C$42*G25)*$F25),0)</f>
        <v>0</v>
      </c>
      <c r="AA25" s="209">
        <f>IF($E25="Yes",(('1. Institution-wide Data'!$C$42*H25)*$F25),0)</f>
        <v>0</v>
      </c>
      <c r="AB25" s="209">
        <f>IF($E25="Yes",(('1. Institution-wide Data'!$C$42*I25)*$F25),0)</f>
        <v>0</v>
      </c>
      <c r="AC25" s="209">
        <f>IF($E25="Yes",(('1. Institution-wide Data'!$C$42*J25)*$F25),0)</f>
        <v>0</v>
      </c>
      <c r="AD25" s="209">
        <f>IF($E25="Yes",(('1. Institution-wide Data'!$C$42*K25)*$F25),0)</f>
        <v>0</v>
      </c>
      <c r="AE25" s="209">
        <f>IF($E25="Yes",(('1. Institution-wide Data'!$C$42*L25)*$F25),0)</f>
        <v>0</v>
      </c>
    </row>
    <row r="26" spans="1:31" s="31" customFormat="1" x14ac:dyDescent="0.25">
      <c r="A26" s="468" t="s">
        <v>28</v>
      </c>
      <c r="B26" s="469"/>
      <c r="C26" s="470"/>
      <c r="D26" s="324"/>
      <c r="E26" s="326"/>
      <c r="F26" s="327"/>
      <c r="G26" s="328"/>
      <c r="H26" s="331"/>
      <c r="I26" s="329"/>
      <c r="J26" s="331"/>
      <c r="K26" s="329"/>
      <c r="L26" s="362"/>
      <c r="M26" s="202">
        <f t="shared" si="0"/>
        <v>0</v>
      </c>
      <c r="N26" s="32">
        <f t="shared" si="1"/>
        <v>0</v>
      </c>
      <c r="O26" s="32">
        <f t="shared" si="2"/>
        <v>0</v>
      </c>
      <c r="P26" s="32">
        <f t="shared" si="3"/>
        <v>0</v>
      </c>
      <c r="Q26" s="32">
        <f t="shared" si="4"/>
        <v>0</v>
      </c>
      <c r="R26" s="32">
        <f t="shared" si="5"/>
        <v>0</v>
      </c>
      <c r="S26" s="333"/>
      <c r="Z26" s="209">
        <f>IF($E26="Yes",(('1. Institution-wide Data'!$C$42*G26)*$F26),0)</f>
        <v>0</v>
      </c>
      <c r="AA26" s="209">
        <f>IF($E26="Yes",(('1. Institution-wide Data'!$C$42*H26)*$F26),0)</f>
        <v>0</v>
      </c>
      <c r="AB26" s="209">
        <f>IF($E26="Yes",(('1. Institution-wide Data'!$C$42*I26)*$F26),0)</f>
        <v>0</v>
      </c>
      <c r="AC26" s="209">
        <f>IF($E26="Yes",(('1. Institution-wide Data'!$C$42*J26)*$F26),0)</f>
        <v>0</v>
      </c>
      <c r="AD26" s="209">
        <f>IF($E26="Yes",(('1. Institution-wide Data'!$C$42*K26)*$F26),0)</f>
        <v>0</v>
      </c>
      <c r="AE26" s="209">
        <f>IF($E26="Yes",(('1. Institution-wide Data'!$C$42*L26)*$F26),0)</f>
        <v>0</v>
      </c>
    </row>
    <row r="27" spans="1:31" s="31" customFormat="1" x14ac:dyDescent="0.25">
      <c r="A27" s="468" t="s">
        <v>245</v>
      </c>
      <c r="B27" s="469"/>
      <c r="C27" s="470"/>
      <c r="D27" s="324"/>
      <c r="E27" s="326"/>
      <c r="F27" s="327"/>
      <c r="G27" s="328"/>
      <c r="H27" s="331"/>
      <c r="I27" s="329"/>
      <c r="J27" s="331"/>
      <c r="K27" s="329"/>
      <c r="L27" s="362"/>
      <c r="M27" s="202">
        <f t="shared" si="0"/>
        <v>0</v>
      </c>
      <c r="N27" s="32">
        <f t="shared" si="1"/>
        <v>0</v>
      </c>
      <c r="O27" s="32">
        <f t="shared" si="2"/>
        <v>0</v>
      </c>
      <c r="P27" s="32">
        <f t="shared" si="3"/>
        <v>0</v>
      </c>
      <c r="Q27" s="32">
        <f t="shared" si="4"/>
        <v>0</v>
      </c>
      <c r="R27" s="32">
        <f t="shared" si="5"/>
        <v>0</v>
      </c>
      <c r="S27" s="333"/>
      <c r="Z27" s="209">
        <f>IF($E27="Yes",(('1. Institution-wide Data'!$C$42*G27)*$F27),0)</f>
        <v>0</v>
      </c>
      <c r="AA27" s="209">
        <f>IF($E27="Yes",(('1. Institution-wide Data'!$C$42*H27)*$F27),0)</f>
        <v>0</v>
      </c>
      <c r="AB27" s="209">
        <f>IF($E27="Yes",(('1. Institution-wide Data'!$C$42*I27)*$F27),0)</f>
        <v>0</v>
      </c>
      <c r="AC27" s="209">
        <f>IF($E27="Yes",(('1. Institution-wide Data'!$C$42*J27)*$F27),0)</f>
        <v>0</v>
      </c>
      <c r="AD27" s="209">
        <f>IF($E27="Yes",(('1. Institution-wide Data'!$C$42*K27)*$F27),0)</f>
        <v>0</v>
      </c>
      <c r="AE27" s="209">
        <f>IF($E27="Yes",(('1. Institution-wide Data'!$C$42*L27)*$F27),0)</f>
        <v>0</v>
      </c>
    </row>
    <row r="28" spans="1:31" s="31" customFormat="1" x14ac:dyDescent="0.25">
      <c r="A28" s="468" t="s">
        <v>246</v>
      </c>
      <c r="B28" s="469"/>
      <c r="C28" s="470"/>
      <c r="D28" s="324"/>
      <c r="E28" s="326"/>
      <c r="F28" s="327"/>
      <c r="G28" s="328"/>
      <c r="H28" s="331"/>
      <c r="I28" s="329"/>
      <c r="J28" s="331"/>
      <c r="K28" s="329"/>
      <c r="L28" s="362"/>
      <c r="M28" s="202">
        <f t="shared" si="0"/>
        <v>0</v>
      </c>
      <c r="N28" s="32">
        <f t="shared" si="1"/>
        <v>0</v>
      </c>
      <c r="O28" s="32">
        <f t="shared" si="2"/>
        <v>0</v>
      </c>
      <c r="P28" s="32">
        <f t="shared" si="3"/>
        <v>0</v>
      </c>
      <c r="Q28" s="32">
        <f t="shared" si="4"/>
        <v>0</v>
      </c>
      <c r="R28" s="32">
        <f t="shared" si="5"/>
        <v>0</v>
      </c>
      <c r="S28" s="333"/>
      <c r="Z28" s="209">
        <f>IF($E28="Yes",(('1. Institution-wide Data'!$C$42*G28)*$F28),0)</f>
        <v>0</v>
      </c>
      <c r="AA28" s="209">
        <f>IF($E28="Yes",(('1. Institution-wide Data'!$C$42*H28)*$F28),0)</f>
        <v>0</v>
      </c>
      <c r="AB28" s="209">
        <f>IF($E28="Yes",(('1. Institution-wide Data'!$C$42*I28)*$F28),0)</f>
        <v>0</v>
      </c>
      <c r="AC28" s="209">
        <f>IF($E28="Yes",(('1. Institution-wide Data'!$C$42*J28)*$F28),0)</f>
        <v>0</v>
      </c>
      <c r="AD28" s="209">
        <f>IF($E28="Yes",(('1. Institution-wide Data'!$C$42*K28)*$F28),0)</f>
        <v>0</v>
      </c>
      <c r="AE28" s="209">
        <f>IF($E28="Yes",(('1. Institution-wide Data'!$C$42*L28)*$F28),0)</f>
        <v>0</v>
      </c>
    </row>
    <row r="29" spans="1:31" s="31" customFormat="1" x14ac:dyDescent="0.25">
      <c r="A29" s="468" t="s">
        <v>247</v>
      </c>
      <c r="B29" s="469"/>
      <c r="C29" s="470"/>
      <c r="D29" s="324"/>
      <c r="E29" s="326"/>
      <c r="F29" s="327"/>
      <c r="G29" s="328"/>
      <c r="H29" s="331"/>
      <c r="I29" s="329"/>
      <c r="J29" s="331"/>
      <c r="K29" s="329"/>
      <c r="L29" s="362"/>
      <c r="M29" s="202">
        <f t="shared" si="0"/>
        <v>0</v>
      </c>
      <c r="N29" s="32">
        <f t="shared" si="1"/>
        <v>0</v>
      </c>
      <c r="O29" s="32">
        <f t="shared" si="2"/>
        <v>0</v>
      </c>
      <c r="P29" s="32">
        <f t="shared" si="3"/>
        <v>0</v>
      </c>
      <c r="Q29" s="32">
        <f t="shared" si="4"/>
        <v>0</v>
      </c>
      <c r="R29" s="32">
        <f t="shared" si="5"/>
        <v>0</v>
      </c>
      <c r="S29" s="333"/>
      <c r="Z29" s="209">
        <f>IF($E29="Yes",(('1. Institution-wide Data'!$C$42*G29)*$F29),0)</f>
        <v>0</v>
      </c>
      <c r="AA29" s="209">
        <f>IF($E29="Yes",(('1. Institution-wide Data'!$C$42*H29)*$F29),0)</f>
        <v>0</v>
      </c>
      <c r="AB29" s="209">
        <f>IF($E29="Yes",(('1. Institution-wide Data'!$C$42*I29)*$F29),0)</f>
        <v>0</v>
      </c>
      <c r="AC29" s="209">
        <f>IF($E29="Yes",(('1. Institution-wide Data'!$C$42*J29)*$F29),0)</f>
        <v>0</v>
      </c>
      <c r="AD29" s="209">
        <f>IF($E29="Yes",(('1. Institution-wide Data'!$C$42*K29)*$F29),0)</f>
        <v>0</v>
      </c>
      <c r="AE29" s="209">
        <f>IF($E29="Yes",(('1. Institution-wide Data'!$C$42*L29)*$F29),0)</f>
        <v>0</v>
      </c>
    </row>
    <row r="30" spans="1:31" s="31" customFormat="1" x14ac:dyDescent="0.25">
      <c r="A30" s="468" t="s">
        <v>248</v>
      </c>
      <c r="B30" s="469"/>
      <c r="C30" s="470"/>
      <c r="D30" s="324"/>
      <c r="E30" s="326"/>
      <c r="F30" s="327"/>
      <c r="G30" s="328"/>
      <c r="H30" s="331"/>
      <c r="I30" s="330"/>
      <c r="J30" s="331"/>
      <c r="K30" s="329"/>
      <c r="L30" s="362"/>
      <c r="M30" s="202">
        <f t="shared" si="0"/>
        <v>0</v>
      </c>
      <c r="N30" s="32">
        <f t="shared" si="1"/>
        <v>0</v>
      </c>
      <c r="O30" s="32">
        <f t="shared" si="2"/>
        <v>0</v>
      </c>
      <c r="P30" s="32">
        <f t="shared" si="3"/>
        <v>0</v>
      </c>
      <c r="Q30" s="32">
        <f t="shared" si="4"/>
        <v>0</v>
      </c>
      <c r="R30" s="32">
        <f t="shared" si="5"/>
        <v>0</v>
      </c>
      <c r="S30" s="333"/>
      <c r="Z30" s="209">
        <f>IF($E30="Yes",(('1. Institution-wide Data'!$C$42*G30)*$F30),0)</f>
        <v>0</v>
      </c>
      <c r="AA30" s="209">
        <f>IF($E30="Yes",(('1. Institution-wide Data'!$C$42*H30)*$F30),0)</f>
        <v>0</v>
      </c>
      <c r="AB30" s="209">
        <f>IF($E30="Yes",(('1. Institution-wide Data'!$C$42*#REF!)*$F30),0)</f>
        <v>0</v>
      </c>
      <c r="AC30" s="209">
        <f>IF($E30="Yes",(('1. Institution-wide Data'!$C$42*J30)*$F30),0)</f>
        <v>0</v>
      </c>
      <c r="AD30" s="209">
        <f>IF($E30="Yes",(('1. Institution-wide Data'!$C$42*K30)*$F30),0)</f>
        <v>0</v>
      </c>
      <c r="AE30" s="209">
        <f>IF($E30="Yes",(('1. Institution-wide Data'!$C$42*L30)*$F30),0)</f>
        <v>0</v>
      </c>
    </row>
    <row r="31" spans="1:31" s="31" customFormat="1" x14ac:dyDescent="0.25">
      <c r="A31" s="468" t="s">
        <v>249</v>
      </c>
      <c r="B31" s="469"/>
      <c r="C31" s="470"/>
      <c r="D31" s="324"/>
      <c r="E31" s="326"/>
      <c r="F31" s="327"/>
      <c r="G31" s="328"/>
      <c r="H31" s="331"/>
      <c r="I31" s="329"/>
      <c r="J31" s="331"/>
      <c r="K31" s="329"/>
      <c r="L31" s="362"/>
      <c r="M31" s="202">
        <f t="shared" si="0"/>
        <v>0</v>
      </c>
      <c r="N31" s="32">
        <f t="shared" si="1"/>
        <v>0</v>
      </c>
      <c r="O31" s="32">
        <f t="shared" si="2"/>
        <v>0</v>
      </c>
      <c r="P31" s="32">
        <f t="shared" si="3"/>
        <v>0</v>
      </c>
      <c r="Q31" s="32">
        <f t="shared" si="4"/>
        <v>0</v>
      </c>
      <c r="R31" s="32">
        <f t="shared" si="5"/>
        <v>0</v>
      </c>
      <c r="S31" s="333"/>
      <c r="Z31" s="209">
        <f>IF($E31="Yes",(('1. Institution-wide Data'!$C$42*G31)*$F31),0)</f>
        <v>0</v>
      </c>
      <c r="AA31" s="209">
        <f>IF($E31="Yes",(('1. Institution-wide Data'!$C$42*H31)*$F31),0)</f>
        <v>0</v>
      </c>
      <c r="AB31" s="209">
        <f>IF($E31="Yes",(('1. Institution-wide Data'!$C$42*I31)*$F31),0)</f>
        <v>0</v>
      </c>
      <c r="AC31" s="209">
        <f>IF($E31="Yes",(('1. Institution-wide Data'!$C$42*J31)*$F31),0)</f>
        <v>0</v>
      </c>
      <c r="AD31" s="209">
        <f>IF($E31="Yes",(('1. Institution-wide Data'!$C$42*K31)*$F31),0)</f>
        <v>0</v>
      </c>
      <c r="AE31" s="209">
        <f>IF($E31="Yes",(('1. Institution-wide Data'!$C$42*L31)*$F31),0)</f>
        <v>0</v>
      </c>
    </row>
    <row r="32" spans="1:31" x14ac:dyDescent="0.25">
      <c r="A32" s="20"/>
      <c r="B32" s="20"/>
      <c r="C32" s="20"/>
      <c r="D32" s="20"/>
      <c r="E32" s="20"/>
      <c r="F32" s="25"/>
      <c r="G32" s="25"/>
      <c r="H32" s="332"/>
      <c r="I32" s="25"/>
      <c r="J32" s="25"/>
      <c r="K32" s="25"/>
      <c r="L32" s="25"/>
      <c r="M32" s="16"/>
      <c r="N32" s="20"/>
      <c r="O32" s="20"/>
      <c r="P32" s="20"/>
      <c r="Q32" s="20"/>
      <c r="R32" s="25"/>
      <c r="S32" s="25"/>
      <c r="Z32" s="210">
        <f t="shared" ref="Z32:AE32" si="6">SUM(Z17:Z31)</f>
        <v>0</v>
      </c>
      <c r="AA32" s="210">
        <f t="shared" si="6"/>
        <v>0</v>
      </c>
      <c r="AB32" s="210">
        <f t="shared" si="6"/>
        <v>0</v>
      </c>
      <c r="AC32" s="210">
        <f t="shared" si="6"/>
        <v>0</v>
      </c>
      <c r="AD32" s="210">
        <f t="shared" si="6"/>
        <v>0</v>
      </c>
      <c r="AE32" s="210">
        <f t="shared" si="6"/>
        <v>0</v>
      </c>
    </row>
    <row r="33" spans="1:31" x14ac:dyDescent="0.25">
      <c r="A33" s="336" t="s">
        <v>32</v>
      </c>
      <c r="B33" s="336"/>
      <c r="C33" s="337"/>
      <c r="D33" s="337"/>
      <c r="E33" s="337"/>
      <c r="F33" s="338"/>
      <c r="G33" s="338"/>
      <c r="H33" s="338"/>
      <c r="I33" s="338"/>
      <c r="J33" s="338"/>
      <c r="K33" s="338"/>
      <c r="L33" s="338"/>
      <c r="M33" s="339">
        <f t="shared" ref="M33:R33" si="7">SUM(M17:M31)</f>
        <v>145000</v>
      </c>
      <c r="N33" s="339">
        <f t="shared" si="7"/>
        <v>147900</v>
      </c>
      <c r="O33" s="339">
        <f t="shared" si="7"/>
        <v>150858</v>
      </c>
      <c r="P33" s="339">
        <f t="shared" si="7"/>
        <v>153875.16</v>
      </c>
      <c r="Q33" s="339">
        <f t="shared" si="7"/>
        <v>0</v>
      </c>
      <c r="R33" s="339">
        <f t="shared" si="7"/>
        <v>0</v>
      </c>
      <c r="S33" s="25"/>
    </row>
    <row r="34" spans="1:31" x14ac:dyDescent="0.25">
      <c r="A34" s="336" t="s">
        <v>45</v>
      </c>
      <c r="B34" s="336"/>
      <c r="C34" s="337"/>
      <c r="D34" s="337"/>
      <c r="E34" s="337"/>
      <c r="F34" s="338"/>
      <c r="G34" s="338"/>
      <c r="H34" s="338"/>
      <c r="I34" s="338"/>
      <c r="J34" s="338"/>
      <c r="K34" s="338"/>
      <c r="L34" s="338"/>
      <c r="M34" s="339">
        <f t="shared" ref="M34:R34" si="8">SUM((SUMIF($E17:$E31,"Yes",M17:M31)*$W$13),(SUMIF($E17:$E31,"No",M17:M31)*$W$14))+Z32</f>
        <v>36250</v>
      </c>
      <c r="N34" s="339">
        <f t="shared" si="8"/>
        <v>36975</v>
      </c>
      <c r="O34" s="339">
        <f t="shared" si="8"/>
        <v>37714.5</v>
      </c>
      <c r="P34" s="339">
        <f t="shared" si="8"/>
        <v>38468.79</v>
      </c>
      <c r="Q34" s="339">
        <f t="shared" si="8"/>
        <v>0</v>
      </c>
      <c r="R34" s="339">
        <f t="shared" si="8"/>
        <v>0</v>
      </c>
      <c r="S34" s="25"/>
    </row>
    <row r="35" spans="1:31" x14ac:dyDescent="0.25">
      <c r="A35" s="340" t="s">
        <v>33</v>
      </c>
      <c r="B35" s="340"/>
      <c r="C35" s="341"/>
      <c r="D35" s="341"/>
      <c r="E35" s="341"/>
      <c r="F35" s="338"/>
      <c r="G35" s="338"/>
      <c r="H35" s="338"/>
      <c r="I35" s="338"/>
      <c r="J35" s="338"/>
      <c r="K35" s="338"/>
      <c r="L35" s="338"/>
      <c r="M35" s="342">
        <f t="shared" ref="M35:R35" si="9">SUM(M33:M34)</f>
        <v>181250</v>
      </c>
      <c r="N35" s="342">
        <f t="shared" si="9"/>
        <v>184875</v>
      </c>
      <c r="O35" s="342">
        <f t="shared" si="9"/>
        <v>188572.5</v>
      </c>
      <c r="P35" s="342">
        <f t="shared" si="9"/>
        <v>192343.95</v>
      </c>
      <c r="Q35" s="342">
        <f t="shared" si="9"/>
        <v>0</v>
      </c>
      <c r="R35" s="342">
        <f t="shared" si="9"/>
        <v>0</v>
      </c>
      <c r="S35" s="25"/>
      <c r="W35" s="206"/>
      <c r="X35" s="44"/>
      <c r="Y35" s="44"/>
      <c r="Z35" s="44"/>
      <c r="AA35" s="44"/>
      <c r="AB35" s="44"/>
      <c r="AC35" s="44"/>
      <c r="AD35" s="44"/>
    </row>
    <row r="36" spans="1:31" x14ac:dyDescent="0.25">
      <c r="A36" s="33"/>
      <c r="B36" s="33"/>
      <c r="C36" s="20"/>
      <c r="D36" s="20"/>
      <c r="E36" s="20"/>
      <c r="F36" s="25"/>
      <c r="G36" s="25"/>
      <c r="H36" s="25"/>
      <c r="I36" s="25"/>
      <c r="J36" s="25"/>
      <c r="K36" s="25"/>
      <c r="L36" s="25"/>
      <c r="M36" s="20"/>
      <c r="N36" s="20"/>
      <c r="O36" s="20"/>
      <c r="P36" s="20"/>
      <c r="Q36" s="20"/>
      <c r="R36" s="25"/>
      <c r="S36" s="25"/>
      <c r="W36" s="207"/>
      <c r="X36" s="207"/>
      <c r="Y36" s="207"/>
      <c r="Z36" s="207"/>
      <c r="AA36" s="207"/>
      <c r="AB36" s="207"/>
      <c r="AC36" s="44"/>
      <c r="AD36" s="44"/>
    </row>
    <row r="37" spans="1:31" ht="15.75" x14ac:dyDescent="0.25">
      <c r="A37" s="287" t="s">
        <v>80</v>
      </c>
      <c r="B37" s="287"/>
      <c r="C37" s="288"/>
      <c r="D37" s="288"/>
      <c r="E37" s="288"/>
      <c r="F37" s="288"/>
      <c r="G37" s="288"/>
      <c r="H37" s="288"/>
      <c r="I37" s="288"/>
      <c r="J37" s="288"/>
      <c r="K37" s="288"/>
      <c r="L37" s="288"/>
      <c r="M37" s="288"/>
      <c r="N37" s="288"/>
      <c r="O37" s="288"/>
      <c r="P37" s="288"/>
      <c r="Q37" s="288"/>
      <c r="R37" s="288"/>
      <c r="S37" s="288"/>
      <c r="W37" s="208"/>
      <c r="X37" s="208"/>
      <c r="Y37" s="208"/>
      <c r="Z37" s="208"/>
      <c r="AA37" s="208"/>
      <c r="AB37" s="208"/>
      <c r="AC37" s="44"/>
      <c r="AD37" s="44"/>
    </row>
    <row r="38" spans="1:31" ht="15.75" x14ac:dyDescent="0.25">
      <c r="A38" s="43"/>
      <c r="B38" s="43"/>
      <c r="C38" s="16"/>
      <c r="D38" s="16"/>
      <c r="E38" s="16"/>
      <c r="F38" s="16"/>
      <c r="G38" s="465" t="s">
        <v>31</v>
      </c>
      <c r="H38" s="465"/>
      <c r="I38" s="465"/>
      <c r="J38" s="465"/>
      <c r="K38" s="465"/>
      <c r="L38" s="465"/>
      <c r="M38" s="16"/>
      <c r="N38" s="16"/>
      <c r="O38" s="16"/>
      <c r="P38" s="16"/>
      <c r="Q38" s="16"/>
      <c r="R38" s="16"/>
      <c r="S38" s="16"/>
    </row>
    <row r="39" spans="1:31" ht="60" x14ac:dyDescent="0.25">
      <c r="A39" s="33" t="s">
        <v>29</v>
      </c>
      <c r="B39" s="33"/>
      <c r="C39" s="34" t="s">
        <v>403</v>
      </c>
      <c r="D39" s="34" t="s">
        <v>237</v>
      </c>
      <c r="E39" s="34" t="s">
        <v>397</v>
      </c>
      <c r="F39" s="35" t="s">
        <v>30</v>
      </c>
      <c r="G39" s="34" t="s">
        <v>206</v>
      </c>
      <c r="H39" s="20" t="s">
        <v>3</v>
      </c>
      <c r="I39" s="20" t="s">
        <v>4</v>
      </c>
      <c r="J39" s="20" t="s">
        <v>5</v>
      </c>
      <c r="K39" s="20" t="s">
        <v>6</v>
      </c>
      <c r="L39" s="20" t="s">
        <v>7</v>
      </c>
      <c r="M39" s="34" t="s">
        <v>206</v>
      </c>
      <c r="N39" s="20" t="s">
        <v>3</v>
      </c>
      <c r="O39" s="20" t="s">
        <v>4</v>
      </c>
      <c r="P39" s="20" t="s">
        <v>5</v>
      </c>
      <c r="Q39" s="20" t="s">
        <v>6</v>
      </c>
      <c r="R39" s="20" t="s">
        <v>7</v>
      </c>
      <c r="S39" s="21" t="s">
        <v>8</v>
      </c>
      <c r="W39" s="3" t="s">
        <v>42</v>
      </c>
      <c r="X39" s="3" t="s">
        <v>44</v>
      </c>
      <c r="Z39" s="34" t="s">
        <v>206</v>
      </c>
      <c r="AA39" s="20" t="s">
        <v>3</v>
      </c>
      <c r="AB39" s="20" t="s">
        <v>4</v>
      </c>
      <c r="AC39" s="20" t="s">
        <v>5</v>
      </c>
      <c r="AD39" s="20" t="s">
        <v>6</v>
      </c>
      <c r="AE39" s="20" t="s">
        <v>7</v>
      </c>
    </row>
    <row r="40" spans="1:31" x14ac:dyDescent="0.25">
      <c r="A40" s="371" t="s">
        <v>35</v>
      </c>
      <c r="B40" s="366"/>
      <c r="C40" s="367" t="s">
        <v>4</v>
      </c>
      <c r="D40" s="368">
        <v>50000</v>
      </c>
      <c r="E40" s="359" t="s">
        <v>38</v>
      </c>
      <c r="F40" s="369">
        <v>5</v>
      </c>
      <c r="G40" s="370"/>
      <c r="H40" s="364"/>
      <c r="I40" s="364">
        <v>0.75</v>
      </c>
      <c r="J40" s="364">
        <v>0.75</v>
      </c>
      <c r="K40" s="364">
        <v>0.75</v>
      </c>
      <c r="L40" s="365">
        <v>0.75</v>
      </c>
      <c r="M40" s="201">
        <f>IF($C40="Year 0", ($D40*$F40)*G40,0)</f>
        <v>0</v>
      </c>
      <c r="N40" s="37">
        <f>IF($C40="Year 1", (($D40*$F40)*$H40),IF($C40="Year 0",((($D40*$F40)*$W$16)*$H40),0))</f>
        <v>0</v>
      </c>
      <c r="O40" s="37">
        <f>IF($C40="Year 2",(($D40*$F40)*$I40),IF($C40="Year 1",(($D40*$F40)*$W$16)*$I40,IF($C40="Year 0",((($D40*$F40)*($W$16^2))*$I40),0)))</f>
        <v>187500</v>
      </c>
      <c r="P40" s="37">
        <f>IF($C40="Year 3",(($D40*$F40)*$J40),IF($C40="Year 2",(($D40*$F40)*$W$16)*$J40,IF($C40="Year 1",((($D40*$F40)*($W$16^2))*$J40),IF($C40="Year 0",((($D40*$F40)*($W$16^3))*$J40),0))))</f>
        <v>191250</v>
      </c>
      <c r="Q40" s="37">
        <f>IF($C40="Year 4",(($D40*$F40)*$K40),IF($C40="Year 3",(($D40*$F40)*$W$16)*$K40,IF($C40="Year 2",((($D40*$F40)*($W$16^2))*$K40),IF($C40="Year 1",((($D40*$F40)*($W$16^3))*$K40),IF($C40="Year 0",((($D40*$F40)*($W$16^4))*$K40),0)))))</f>
        <v>195075</v>
      </c>
      <c r="R40" s="37">
        <f>IF($C40="Year 5",(($D40*$F40)*$L40),IF($C40="Year 4",(($D40*$F40)*$W$16)*$L40,IF($C40="Year 3",((($D40*$F40)*($W$16^2))*$L40),IF($C40="Year 2",((($D40*$F40)*($W$16^3))*$L40),IF($C40="Year 1",((($D40*$F40)*($W$16^4))*$L40),IF($C40="Year 0",((($D40*$F40)*($W$16^5))*$L40),0))))))</f>
        <v>198976.5</v>
      </c>
      <c r="S40" s="348"/>
      <c r="W40" s="38">
        <v>1.02</v>
      </c>
      <c r="X40" s="13" t="s">
        <v>2</v>
      </c>
      <c r="Z40" s="203" t="s">
        <v>239</v>
      </c>
      <c r="AA40" s="31"/>
      <c r="AB40" s="31"/>
      <c r="AC40" s="31"/>
      <c r="AD40" s="31"/>
      <c r="AE40" s="31"/>
    </row>
    <row r="41" spans="1:31" x14ac:dyDescent="0.25">
      <c r="A41" s="466" t="s">
        <v>319</v>
      </c>
      <c r="B41" s="467"/>
      <c r="C41" s="343" t="s">
        <v>4</v>
      </c>
      <c r="D41" s="319">
        <v>50000</v>
      </c>
      <c r="E41" s="326" t="s">
        <v>38</v>
      </c>
      <c r="F41" s="344">
        <v>1</v>
      </c>
      <c r="G41" s="345"/>
      <c r="H41" s="346"/>
      <c r="I41" s="347">
        <v>0.5</v>
      </c>
      <c r="J41" s="347">
        <v>0.5</v>
      </c>
      <c r="K41" s="346"/>
      <c r="L41" s="363"/>
      <c r="M41" s="202">
        <f t="shared" ref="M41:M50" si="10">IF($C41="Year 0", ($D41*$F41)*G41,0)</f>
        <v>0</v>
      </c>
      <c r="N41" s="32">
        <f t="shared" ref="N41:N50" si="11">IF($C41="Year 1", (($D41*$F41)*$H41),IF($C41="Year 0",((($D41*$F41)*$W$16)*$H41),0))</f>
        <v>0</v>
      </c>
      <c r="O41" s="32">
        <f t="shared" ref="O41:O50" si="12">IF($C41="Year 2",(($D41*$F41)*$I41),IF($C41="Year 1",(($D41*$F41)*$W$16)*$I41,IF($C41="Year 0",((($D41*$F41)*($W$16^2))*$I41),0)))</f>
        <v>25000</v>
      </c>
      <c r="P41" s="32">
        <f t="shared" ref="P41:P50" si="13">IF($C41="Year 3",(($D41*$F41)*$J41),IF($C41="Year 2",(($D41*$F41)*$W$16)*$J41,IF($C41="Year 1",((($D41*$F41)*($W$16^2))*$J41),IF($C41="Year 0",((($D41*$F41)*($W$16^3))*$J41),0))))</f>
        <v>25500</v>
      </c>
      <c r="Q41" s="32">
        <f t="shared" ref="Q41:Q50" si="14">IF($C41="Year 4",(($D41*$F41)*$K41),IF($C41="Year 3",(($D41*$F41)*$W$16)*$K41,IF($C41="Year 2",((($D41*$F41)*($W$16^2))*$K41),IF($C41="Year 1",((($D41*$F41)*($W$16^3))*$K41),IF($C41="Year 0",((($D41*$F41)*($W$16^4))*$K41),0)))))</f>
        <v>0</v>
      </c>
      <c r="R41" s="32">
        <f t="shared" ref="R41:R50" si="15">IF($C41="Year 5",(($D41*$F41)*$L41),IF($C41="Year 4",(($D41*$F41)*$W$16)*$L41,IF($C41="Year 3",((($D41*$F41)*($W$16^2))*$L41),IF($C41="Year 2",((($D41*$F41)*($W$16^3))*$L41),IF($C41="Year 1",((($D41*$F41)*($W$16^4))*$L41),IF($C41="Year 0",((($D41*$F41)*($W$16^5))*$L41),0))))))</f>
        <v>0</v>
      </c>
      <c r="S41" s="348"/>
      <c r="W41" s="31"/>
      <c r="X41" s="13" t="s">
        <v>3</v>
      </c>
      <c r="Z41" s="209">
        <f>IF($E41="Yes",(('1. Institution-wide Data'!$C$42*G41)*$F41),0)</f>
        <v>0</v>
      </c>
      <c r="AA41" s="209">
        <f>IF($E41="Yes",(('1. Institution-wide Data'!$C$42*H41)*$F41),0)</f>
        <v>0</v>
      </c>
      <c r="AB41" s="209">
        <f>IF($E41="Yes",(('1. Institution-wide Data'!$C$42*I41)*$F41),0)</f>
        <v>0</v>
      </c>
      <c r="AC41" s="209">
        <f>IF($E41="Yes",(('1. Institution-wide Data'!$C$42*J41)*$F41),0)</f>
        <v>0</v>
      </c>
      <c r="AD41" s="209">
        <f>IF($E41="Yes",(('1. Institution-wide Data'!$C$42*K41)*$F41),0)</f>
        <v>0</v>
      </c>
      <c r="AE41" s="209">
        <f>IF($E41="Yes",(('1. Institution-wide Data'!$C$42*L41)*$F41),0)</f>
        <v>0</v>
      </c>
    </row>
    <row r="42" spans="1:31" x14ac:dyDescent="0.25">
      <c r="A42" s="466" t="s">
        <v>320</v>
      </c>
      <c r="B42" s="467"/>
      <c r="C42" s="343" t="s">
        <v>5</v>
      </c>
      <c r="D42" s="319">
        <v>30000</v>
      </c>
      <c r="E42" s="326" t="s">
        <v>39</v>
      </c>
      <c r="F42" s="344">
        <v>1</v>
      </c>
      <c r="G42" s="345"/>
      <c r="H42" s="346"/>
      <c r="I42" s="347"/>
      <c r="J42" s="347">
        <v>1</v>
      </c>
      <c r="K42" s="346"/>
      <c r="L42" s="363"/>
      <c r="M42" s="202">
        <f t="shared" si="10"/>
        <v>0</v>
      </c>
      <c r="N42" s="32">
        <f t="shared" si="11"/>
        <v>0</v>
      </c>
      <c r="O42" s="32">
        <f t="shared" si="12"/>
        <v>0</v>
      </c>
      <c r="P42" s="32">
        <f t="shared" si="13"/>
        <v>30000</v>
      </c>
      <c r="Q42" s="32">
        <f t="shared" si="14"/>
        <v>0</v>
      </c>
      <c r="R42" s="32">
        <f t="shared" si="15"/>
        <v>0</v>
      </c>
      <c r="S42" s="349"/>
      <c r="X42" s="13" t="s">
        <v>4</v>
      </c>
      <c r="Z42" s="209">
        <f>IF($E42="Yes",(('1. Institution-wide Data'!$C$42*G42)*$F42),0)</f>
        <v>0</v>
      </c>
      <c r="AA42" s="209">
        <f>IF($E42="Yes",(('1. Institution-wide Data'!$C$42*H42)*$F42),0)</f>
        <v>0</v>
      </c>
      <c r="AB42" s="209">
        <f>IF($E42="Yes",(('1. Institution-wide Data'!$C$42*I42)*$F42),0)</f>
        <v>0</v>
      </c>
      <c r="AC42" s="209">
        <f>IF($E42="Yes",(('1. Institution-wide Data'!$C$42*J42)*$F42),0)</f>
        <v>0</v>
      </c>
      <c r="AD42" s="209">
        <f>IF($E42="Yes",(('1. Institution-wide Data'!$C$42*K42)*$F42),0)</f>
        <v>0</v>
      </c>
      <c r="AE42" s="209">
        <f>IF($E42="Yes",(('1. Institution-wide Data'!$C$42*L42)*$F42),0)</f>
        <v>0</v>
      </c>
    </row>
    <row r="43" spans="1:31" x14ac:dyDescent="0.25">
      <c r="A43" s="466" t="s">
        <v>21</v>
      </c>
      <c r="B43" s="467"/>
      <c r="C43" s="343"/>
      <c r="D43" s="319"/>
      <c r="E43" s="326"/>
      <c r="F43" s="344"/>
      <c r="G43" s="345"/>
      <c r="H43" s="346"/>
      <c r="I43" s="347"/>
      <c r="J43" s="347"/>
      <c r="K43" s="346"/>
      <c r="L43" s="363"/>
      <c r="M43" s="202">
        <f t="shared" si="10"/>
        <v>0</v>
      </c>
      <c r="N43" s="32">
        <f t="shared" si="11"/>
        <v>0</v>
      </c>
      <c r="O43" s="32">
        <f t="shared" si="12"/>
        <v>0</v>
      </c>
      <c r="P43" s="32">
        <f t="shared" si="13"/>
        <v>0</v>
      </c>
      <c r="Q43" s="32">
        <f t="shared" si="14"/>
        <v>0</v>
      </c>
      <c r="R43" s="32">
        <f t="shared" si="15"/>
        <v>0</v>
      </c>
      <c r="S43" s="348"/>
      <c r="X43" s="13" t="s">
        <v>5</v>
      </c>
      <c r="Z43" s="209">
        <f>IF($E43="Yes",(('1. Institution-wide Data'!$C$42*G43)*$F43),0)</f>
        <v>0</v>
      </c>
      <c r="AA43" s="209">
        <f>IF($E43="Yes",(('1. Institution-wide Data'!$C$42*H43)*$F43),0)</f>
        <v>0</v>
      </c>
      <c r="AB43" s="209">
        <f>IF($E43="Yes",(('1. Institution-wide Data'!$C$42*I43)*$F43),0)</f>
        <v>0</v>
      </c>
      <c r="AC43" s="209">
        <f>IF($E43="Yes",(('1. Institution-wide Data'!$C$42*J43)*$F43),0)</f>
        <v>0</v>
      </c>
      <c r="AD43" s="209">
        <f>IF($E43="Yes",(('1. Institution-wide Data'!$C$42*K43)*$F43),0)</f>
        <v>0</v>
      </c>
      <c r="AE43" s="209">
        <f>IF($E43="Yes",(('1. Institution-wide Data'!$C$42*L43)*$F43),0)</f>
        <v>0</v>
      </c>
    </row>
    <row r="44" spans="1:31" x14ac:dyDescent="0.25">
      <c r="A44" s="466" t="s">
        <v>22</v>
      </c>
      <c r="B44" s="467"/>
      <c r="C44" s="343"/>
      <c r="D44" s="319"/>
      <c r="E44" s="326"/>
      <c r="F44" s="344"/>
      <c r="G44" s="345"/>
      <c r="H44" s="346"/>
      <c r="I44" s="347"/>
      <c r="J44" s="347"/>
      <c r="K44" s="346"/>
      <c r="L44" s="363"/>
      <c r="M44" s="202">
        <f t="shared" si="10"/>
        <v>0</v>
      </c>
      <c r="N44" s="32">
        <f t="shared" si="11"/>
        <v>0</v>
      </c>
      <c r="O44" s="32">
        <f t="shared" si="12"/>
        <v>0</v>
      </c>
      <c r="P44" s="32">
        <f t="shared" si="13"/>
        <v>0</v>
      </c>
      <c r="Q44" s="32">
        <f t="shared" si="14"/>
        <v>0</v>
      </c>
      <c r="R44" s="32">
        <f t="shared" si="15"/>
        <v>0</v>
      </c>
      <c r="S44" s="348"/>
      <c r="X44" s="13" t="s">
        <v>6</v>
      </c>
      <c r="Z44" s="209">
        <f>IF($E44="Yes",(('1. Institution-wide Data'!$C$42*G44)*$F44),0)</f>
        <v>0</v>
      </c>
      <c r="AA44" s="209">
        <f>IF($E44="Yes",(('1. Institution-wide Data'!$C$42*H44)*$F44),0)</f>
        <v>0</v>
      </c>
      <c r="AB44" s="209">
        <f>IF($E44="Yes",(('1. Institution-wide Data'!$C$42*I44)*$F44),0)</f>
        <v>0</v>
      </c>
      <c r="AC44" s="209">
        <f>IF($E44="Yes",(('1. Institution-wide Data'!$C$42*J44)*$F44),0)</f>
        <v>0</v>
      </c>
      <c r="AD44" s="209">
        <f>IF($E44="Yes",(('1. Institution-wide Data'!$C$42*K44)*$F44),0)</f>
        <v>0</v>
      </c>
      <c r="AE44" s="209">
        <f>IF($E44="Yes",(('1. Institution-wide Data'!$C$42*L44)*$F44),0)</f>
        <v>0</v>
      </c>
    </row>
    <row r="45" spans="1:31" x14ac:dyDescent="0.25">
      <c r="A45" s="466" t="s">
        <v>23</v>
      </c>
      <c r="B45" s="467"/>
      <c r="C45" s="343"/>
      <c r="D45" s="319"/>
      <c r="E45" s="326"/>
      <c r="F45" s="344"/>
      <c r="G45" s="345"/>
      <c r="H45" s="346"/>
      <c r="I45" s="347"/>
      <c r="J45" s="347"/>
      <c r="K45" s="346"/>
      <c r="L45" s="363"/>
      <c r="M45" s="202">
        <f t="shared" si="10"/>
        <v>0</v>
      </c>
      <c r="N45" s="32">
        <f t="shared" si="11"/>
        <v>0</v>
      </c>
      <c r="O45" s="32">
        <f t="shared" si="12"/>
        <v>0</v>
      </c>
      <c r="P45" s="32">
        <f t="shared" si="13"/>
        <v>0</v>
      </c>
      <c r="Q45" s="32">
        <f t="shared" si="14"/>
        <v>0</v>
      </c>
      <c r="R45" s="32">
        <f t="shared" si="15"/>
        <v>0</v>
      </c>
      <c r="S45" s="348"/>
      <c r="X45" s="13" t="s">
        <v>7</v>
      </c>
      <c r="Z45" s="209">
        <f>IF($E45="Yes",(('1. Institution-wide Data'!$C$42*G45)*$F45),0)</f>
        <v>0</v>
      </c>
      <c r="AA45" s="209">
        <f>IF($E45="Yes",(('1. Institution-wide Data'!$C$42*H45)*$F45),0)</f>
        <v>0</v>
      </c>
      <c r="AB45" s="209">
        <f>IF($E45="Yes",(('1. Institution-wide Data'!$C$42*I45)*$F45),0)</f>
        <v>0</v>
      </c>
      <c r="AC45" s="209">
        <f>IF($E45="Yes",(('1. Institution-wide Data'!$C$42*J45)*$F45),0)</f>
        <v>0</v>
      </c>
      <c r="AD45" s="209">
        <f>IF($E45="Yes",(('1. Institution-wide Data'!$C$42*K45)*$F45),0)</f>
        <v>0</v>
      </c>
      <c r="AE45" s="209">
        <f>IF($E45="Yes",(('1. Institution-wide Data'!$C$42*L45)*$F45),0)</f>
        <v>0</v>
      </c>
    </row>
    <row r="46" spans="1:31" x14ac:dyDescent="0.25">
      <c r="A46" s="466" t="s">
        <v>24</v>
      </c>
      <c r="B46" s="467"/>
      <c r="C46" s="343"/>
      <c r="D46" s="319"/>
      <c r="E46" s="326"/>
      <c r="F46" s="344"/>
      <c r="G46" s="345"/>
      <c r="H46" s="346"/>
      <c r="I46" s="347"/>
      <c r="J46" s="347"/>
      <c r="K46" s="346"/>
      <c r="L46" s="363"/>
      <c r="M46" s="202">
        <f t="shared" si="10"/>
        <v>0</v>
      </c>
      <c r="N46" s="32">
        <f t="shared" si="11"/>
        <v>0</v>
      </c>
      <c r="O46" s="32">
        <f t="shared" si="12"/>
        <v>0</v>
      </c>
      <c r="P46" s="32">
        <f t="shared" si="13"/>
        <v>0</v>
      </c>
      <c r="Q46" s="32">
        <f t="shared" si="14"/>
        <v>0</v>
      </c>
      <c r="R46" s="32">
        <f t="shared" si="15"/>
        <v>0</v>
      </c>
      <c r="S46" s="348"/>
      <c r="Z46" s="209">
        <f>IF($E46="Yes",(('1. Institution-wide Data'!$C$42*G46)*$F46),0)</f>
        <v>0</v>
      </c>
      <c r="AA46" s="209">
        <f>IF($E46="Yes",(('1. Institution-wide Data'!$C$42*H46)*$F46),0)</f>
        <v>0</v>
      </c>
      <c r="AB46" s="209">
        <f>IF($E46="Yes",(('1. Institution-wide Data'!$C$42*I46)*$F46),0)</f>
        <v>0</v>
      </c>
      <c r="AC46" s="209">
        <f>IF($E46="Yes",(('1. Institution-wide Data'!$C$42*J46)*$F46),0)</f>
        <v>0</v>
      </c>
      <c r="AD46" s="209">
        <f>IF($E46="Yes",(('1. Institution-wide Data'!$C$42*K46)*$F46),0)</f>
        <v>0</v>
      </c>
      <c r="AE46" s="209">
        <f>IF($E46="Yes",(('1. Institution-wide Data'!$C$42*L46)*$F46),0)</f>
        <v>0</v>
      </c>
    </row>
    <row r="47" spans="1:31" x14ac:dyDescent="0.25">
      <c r="A47" s="466" t="s">
        <v>25</v>
      </c>
      <c r="B47" s="467"/>
      <c r="C47" s="343"/>
      <c r="D47" s="319"/>
      <c r="E47" s="326"/>
      <c r="F47" s="344"/>
      <c r="G47" s="345"/>
      <c r="H47" s="346"/>
      <c r="I47" s="347"/>
      <c r="J47" s="347"/>
      <c r="K47" s="346"/>
      <c r="L47" s="363"/>
      <c r="M47" s="202">
        <f t="shared" si="10"/>
        <v>0</v>
      </c>
      <c r="N47" s="32">
        <f t="shared" si="11"/>
        <v>0</v>
      </c>
      <c r="O47" s="32">
        <f t="shared" si="12"/>
        <v>0</v>
      </c>
      <c r="P47" s="32">
        <f t="shared" si="13"/>
        <v>0</v>
      </c>
      <c r="Q47" s="32">
        <f t="shared" si="14"/>
        <v>0</v>
      </c>
      <c r="R47" s="32">
        <f t="shared" si="15"/>
        <v>0</v>
      </c>
      <c r="S47" s="348"/>
      <c r="Z47" s="209">
        <f>IF($E47="Yes",(('1. Institution-wide Data'!$C$42*G47)*$F47),0)</f>
        <v>0</v>
      </c>
      <c r="AA47" s="209">
        <f>IF($E47="Yes",(('1. Institution-wide Data'!$C$42*H47)*$F47),0)</f>
        <v>0</v>
      </c>
      <c r="AB47" s="209">
        <f>IF($E47="Yes",(('1. Institution-wide Data'!$C$42*I47)*$F47),0)</f>
        <v>0</v>
      </c>
      <c r="AC47" s="209">
        <f>IF($E47="Yes",(('1. Institution-wide Data'!$C$42*J47)*$F47),0)</f>
        <v>0</v>
      </c>
      <c r="AD47" s="209">
        <f>IF($E47="Yes",(('1. Institution-wide Data'!$C$42*K47)*$F47),0)</f>
        <v>0</v>
      </c>
      <c r="AE47" s="209">
        <f>IF($E47="Yes",(('1. Institution-wide Data'!$C$42*L47)*$F47),0)</f>
        <v>0</v>
      </c>
    </row>
    <row r="48" spans="1:31" x14ac:dyDescent="0.25">
      <c r="A48" s="466" t="s">
        <v>26</v>
      </c>
      <c r="B48" s="467"/>
      <c r="C48" s="343"/>
      <c r="D48" s="319"/>
      <c r="E48" s="326"/>
      <c r="F48" s="344"/>
      <c r="G48" s="345"/>
      <c r="H48" s="346"/>
      <c r="I48" s="347"/>
      <c r="J48" s="347"/>
      <c r="K48" s="346"/>
      <c r="L48" s="363"/>
      <c r="M48" s="202">
        <f t="shared" si="10"/>
        <v>0</v>
      </c>
      <c r="N48" s="32">
        <f t="shared" si="11"/>
        <v>0</v>
      </c>
      <c r="O48" s="32">
        <f t="shared" si="12"/>
        <v>0</v>
      </c>
      <c r="P48" s="32">
        <f t="shared" si="13"/>
        <v>0</v>
      </c>
      <c r="Q48" s="32">
        <f t="shared" si="14"/>
        <v>0</v>
      </c>
      <c r="R48" s="32">
        <f t="shared" si="15"/>
        <v>0</v>
      </c>
      <c r="S48" s="348"/>
      <c r="Z48" s="209">
        <f>IF($E48="Yes",(('1. Institution-wide Data'!$C$42*G48)*$F48),0)</f>
        <v>0</v>
      </c>
      <c r="AA48" s="209">
        <f>IF($E48="Yes",(('1. Institution-wide Data'!$C$42*H48)*$F48),0)</f>
        <v>0</v>
      </c>
      <c r="AB48" s="209">
        <f>IF($E48="Yes",(('1. Institution-wide Data'!$C$42*I48)*$F48),0)</f>
        <v>0</v>
      </c>
      <c r="AC48" s="209">
        <f>IF($E48="Yes",(('1. Institution-wide Data'!$C$42*J48)*$F48),0)</f>
        <v>0</v>
      </c>
      <c r="AD48" s="209">
        <f>IF($E48="Yes",(('1. Institution-wide Data'!$C$42*K48)*$F48),0)</f>
        <v>0</v>
      </c>
      <c r="AE48" s="209">
        <f>IF($E48="Yes",(('1. Institution-wide Data'!$C$42*L48)*$F48),0)</f>
        <v>0</v>
      </c>
    </row>
    <row r="49" spans="1:31" x14ac:dyDescent="0.25">
      <c r="A49" s="466" t="s">
        <v>27</v>
      </c>
      <c r="B49" s="467"/>
      <c r="C49" s="343"/>
      <c r="D49" s="319"/>
      <c r="E49" s="326"/>
      <c r="F49" s="344"/>
      <c r="G49" s="345"/>
      <c r="H49" s="346"/>
      <c r="I49" s="347"/>
      <c r="J49" s="347"/>
      <c r="K49" s="346"/>
      <c r="L49" s="363"/>
      <c r="M49" s="202">
        <f t="shared" si="10"/>
        <v>0</v>
      </c>
      <c r="N49" s="32">
        <f t="shared" si="11"/>
        <v>0</v>
      </c>
      <c r="O49" s="32">
        <f t="shared" si="12"/>
        <v>0</v>
      </c>
      <c r="P49" s="32">
        <f t="shared" si="13"/>
        <v>0</v>
      </c>
      <c r="Q49" s="32">
        <f t="shared" si="14"/>
        <v>0</v>
      </c>
      <c r="R49" s="32">
        <f t="shared" si="15"/>
        <v>0</v>
      </c>
      <c r="S49" s="348"/>
      <c r="Z49" s="209">
        <f>IF($E49="Yes",(('1. Institution-wide Data'!$C$42*G49)*$F49),0)</f>
        <v>0</v>
      </c>
      <c r="AA49" s="209">
        <f>IF($E49="Yes",(('1. Institution-wide Data'!$C$42*H49)*$F49),0)</f>
        <v>0</v>
      </c>
      <c r="AB49" s="209">
        <f>IF($E49="Yes",(('1. Institution-wide Data'!$C$42*I49)*$F49),0)</f>
        <v>0</v>
      </c>
      <c r="AC49" s="209">
        <f>IF($E49="Yes",(('1. Institution-wide Data'!$C$42*J49)*$F49),0)</f>
        <v>0</v>
      </c>
      <c r="AD49" s="209">
        <f>IF($E49="Yes",(('1. Institution-wide Data'!$C$42*K49)*$F49),0)</f>
        <v>0</v>
      </c>
      <c r="AE49" s="209">
        <f>IF($E49="Yes",(('1. Institution-wide Data'!$C$42*L49)*$F49),0)</f>
        <v>0</v>
      </c>
    </row>
    <row r="50" spans="1:31" x14ac:dyDescent="0.25">
      <c r="A50" s="466" t="s">
        <v>28</v>
      </c>
      <c r="B50" s="467"/>
      <c r="C50" s="343"/>
      <c r="D50" s="319"/>
      <c r="E50" s="325"/>
      <c r="F50" s="344"/>
      <c r="G50" s="345"/>
      <c r="H50" s="346"/>
      <c r="I50" s="347"/>
      <c r="J50" s="347"/>
      <c r="K50" s="346"/>
      <c r="L50" s="363"/>
      <c r="M50" s="202">
        <f t="shared" si="10"/>
        <v>0</v>
      </c>
      <c r="N50" s="32">
        <f t="shared" si="11"/>
        <v>0</v>
      </c>
      <c r="O50" s="32">
        <f t="shared" si="12"/>
        <v>0</v>
      </c>
      <c r="P50" s="32">
        <f t="shared" si="13"/>
        <v>0</v>
      </c>
      <c r="Q50" s="32">
        <f t="shared" si="14"/>
        <v>0</v>
      </c>
      <c r="R50" s="32">
        <f t="shared" si="15"/>
        <v>0</v>
      </c>
      <c r="S50" s="348"/>
      <c r="Z50" s="209">
        <f>IF($E50="Yes",(('1. Institution-wide Data'!$C$42*G50)*$F50),0)</f>
        <v>0</v>
      </c>
      <c r="AA50" s="209">
        <f>IF($E50="Yes",(('1. Institution-wide Data'!$C$42*H50)*$F50),0)</f>
        <v>0</v>
      </c>
      <c r="AB50" s="209">
        <f>IF($E50="Yes",(('1. Institution-wide Data'!$C$42*I50)*$F50),0)</f>
        <v>0</v>
      </c>
      <c r="AC50" s="209">
        <f>IF($E50="Yes",(('1. Institution-wide Data'!$C$42*J50)*$F50),0)</f>
        <v>0</v>
      </c>
      <c r="AD50" s="209">
        <f>IF($E50="Yes",(('1. Institution-wide Data'!$C$42*K50)*$F50),0)</f>
        <v>0</v>
      </c>
      <c r="AE50" s="209">
        <f>IF($E50="Yes",(('1. Institution-wide Data'!$C$42*L50)*$F50),0)</f>
        <v>0</v>
      </c>
    </row>
    <row r="51" spans="1:31" x14ac:dyDescent="0.25">
      <c r="A51" s="20"/>
      <c r="B51" s="20"/>
      <c r="C51" s="20"/>
      <c r="D51" s="20"/>
      <c r="E51" s="20"/>
      <c r="F51" s="25"/>
      <c r="G51" s="25"/>
      <c r="H51" s="25"/>
      <c r="I51" s="25"/>
      <c r="J51" s="25"/>
      <c r="K51" s="25"/>
      <c r="L51" s="25"/>
      <c r="M51" s="20"/>
      <c r="N51" s="20"/>
      <c r="O51" s="20"/>
      <c r="P51" s="20"/>
      <c r="Q51" s="20"/>
      <c r="R51" s="25"/>
      <c r="S51" s="25"/>
      <c r="W51" s="206"/>
      <c r="X51" s="44"/>
      <c r="Y51" s="44"/>
      <c r="Z51" s="210">
        <f t="shared" ref="Z51:AE51" si="16">SUM(Z41:Z50)</f>
        <v>0</v>
      </c>
      <c r="AA51" s="210">
        <f t="shared" si="16"/>
        <v>0</v>
      </c>
      <c r="AB51" s="210">
        <f t="shared" si="16"/>
        <v>0</v>
      </c>
      <c r="AC51" s="210">
        <f t="shared" si="16"/>
        <v>0</v>
      </c>
      <c r="AD51" s="210">
        <f t="shared" si="16"/>
        <v>0</v>
      </c>
      <c r="AE51" s="210">
        <f t="shared" si="16"/>
        <v>0</v>
      </c>
    </row>
    <row r="52" spans="1:31" x14ac:dyDescent="0.25">
      <c r="A52" s="336" t="s">
        <v>36</v>
      </c>
      <c r="B52" s="336"/>
      <c r="C52" s="337"/>
      <c r="D52" s="337"/>
      <c r="E52" s="337"/>
      <c r="F52" s="338"/>
      <c r="G52" s="338"/>
      <c r="H52" s="338"/>
      <c r="I52" s="338"/>
      <c r="J52" s="338"/>
      <c r="K52" s="338"/>
      <c r="L52" s="338"/>
      <c r="M52" s="339">
        <f t="shared" ref="M52:R52" si="17">SUM(M41:M50)</f>
        <v>0</v>
      </c>
      <c r="N52" s="339">
        <f t="shared" si="17"/>
        <v>0</v>
      </c>
      <c r="O52" s="339">
        <f t="shared" si="17"/>
        <v>25000</v>
      </c>
      <c r="P52" s="339">
        <f t="shared" si="17"/>
        <v>55500</v>
      </c>
      <c r="Q52" s="339">
        <f t="shared" si="17"/>
        <v>0</v>
      </c>
      <c r="R52" s="339">
        <f t="shared" si="17"/>
        <v>0</v>
      </c>
      <c r="S52" s="25"/>
      <c r="W52" s="207"/>
      <c r="X52" s="207"/>
      <c r="Y52" s="207"/>
      <c r="Z52" s="207"/>
      <c r="AA52" s="207"/>
      <c r="AB52" s="207"/>
      <c r="AC52" s="44"/>
      <c r="AD52" s="44"/>
    </row>
    <row r="53" spans="1:31" x14ac:dyDescent="0.25">
      <c r="A53" s="336" t="s">
        <v>45</v>
      </c>
      <c r="B53" s="336"/>
      <c r="C53" s="337"/>
      <c r="D53" s="337"/>
      <c r="E53" s="337"/>
      <c r="F53" s="338"/>
      <c r="G53" s="338"/>
      <c r="H53" s="338"/>
      <c r="I53" s="338"/>
      <c r="J53" s="338"/>
      <c r="K53" s="338"/>
      <c r="L53" s="338"/>
      <c r="M53" s="339">
        <f t="shared" ref="M53:R53" si="18">SUM((SUMIF($E41:$E50,"Yes",M41:M50)*$W$13),(SUMIF($E41:$E50,"No",M41:M50)*$W$14))+Z51</f>
        <v>0</v>
      </c>
      <c r="N53" s="339">
        <f t="shared" si="18"/>
        <v>0</v>
      </c>
      <c r="O53" s="339">
        <f t="shared" si="18"/>
        <v>6250</v>
      </c>
      <c r="P53" s="339">
        <f t="shared" si="18"/>
        <v>8670</v>
      </c>
      <c r="Q53" s="339">
        <f t="shared" si="18"/>
        <v>0</v>
      </c>
      <c r="R53" s="339">
        <f t="shared" si="18"/>
        <v>0</v>
      </c>
      <c r="S53" s="25"/>
      <c r="W53" s="208"/>
      <c r="X53" s="208"/>
      <c r="Y53" s="208"/>
      <c r="Z53" s="208"/>
      <c r="AA53" s="208"/>
      <c r="AB53" s="208"/>
      <c r="AC53" s="44"/>
      <c r="AD53" s="44"/>
    </row>
    <row r="54" spans="1:31" x14ac:dyDescent="0.25">
      <c r="A54" s="340" t="s">
        <v>37</v>
      </c>
      <c r="B54" s="340"/>
      <c r="C54" s="341"/>
      <c r="D54" s="341"/>
      <c r="E54" s="341"/>
      <c r="F54" s="338"/>
      <c r="G54" s="338"/>
      <c r="H54" s="338"/>
      <c r="I54" s="338"/>
      <c r="J54" s="338"/>
      <c r="K54" s="338"/>
      <c r="L54" s="338"/>
      <c r="M54" s="342">
        <f t="shared" ref="M54:R54" si="19">SUM(M52:M53)</f>
        <v>0</v>
      </c>
      <c r="N54" s="342">
        <f t="shared" si="19"/>
        <v>0</v>
      </c>
      <c r="O54" s="342">
        <f t="shared" si="19"/>
        <v>31250</v>
      </c>
      <c r="P54" s="342">
        <f t="shared" si="19"/>
        <v>64170</v>
      </c>
      <c r="Q54" s="342">
        <f t="shared" si="19"/>
        <v>0</v>
      </c>
      <c r="R54" s="342">
        <f t="shared" si="19"/>
        <v>0</v>
      </c>
      <c r="S54" s="25"/>
      <c r="W54" s="44"/>
      <c r="X54" s="44"/>
      <c r="Y54" s="44"/>
      <c r="Z54" s="44"/>
      <c r="AA54" s="44"/>
      <c r="AB54" s="44"/>
      <c r="AC54" s="44"/>
      <c r="AD54" s="44"/>
    </row>
    <row r="55" spans="1:31" x14ac:dyDescent="0.25">
      <c r="A55" s="33"/>
      <c r="B55" s="33"/>
      <c r="C55" s="20"/>
      <c r="D55" s="20"/>
      <c r="E55" s="20"/>
      <c r="F55" s="25"/>
      <c r="G55" s="25"/>
      <c r="H55" s="25"/>
      <c r="I55" s="25"/>
      <c r="J55" s="25"/>
      <c r="K55" s="25"/>
      <c r="L55" s="25"/>
      <c r="M55" s="20"/>
      <c r="N55" s="20"/>
      <c r="O55" s="20"/>
      <c r="P55" s="20"/>
      <c r="Q55" s="20"/>
      <c r="R55" s="25"/>
      <c r="S55" s="25"/>
    </row>
    <row r="56" spans="1:31" ht="15.75" x14ac:dyDescent="0.25">
      <c r="A56" s="287" t="s">
        <v>63</v>
      </c>
      <c r="B56" s="287"/>
      <c r="C56" s="288"/>
      <c r="D56" s="288"/>
      <c r="E56" s="288"/>
      <c r="F56" s="288"/>
      <c r="G56" s="288"/>
      <c r="H56" s="288"/>
      <c r="I56" s="288"/>
      <c r="J56" s="288"/>
      <c r="K56" s="288"/>
      <c r="L56" s="288"/>
      <c r="M56" s="288"/>
      <c r="N56" s="288"/>
      <c r="O56" s="288"/>
      <c r="P56" s="288"/>
      <c r="Q56" s="288"/>
      <c r="R56" s="288"/>
      <c r="S56" s="288"/>
    </row>
    <row r="57" spans="1:31" ht="15.75" x14ac:dyDescent="0.25">
      <c r="A57" s="43"/>
      <c r="B57" s="43"/>
      <c r="C57" s="16"/>
      <c r="D57" s="16"/>
      <c r="E57" s="16"/>
      <c r="F57" s="16"/>
      <c r="G57" s="16"/>
      <c r="H57" s="16"/>
      <c r="I57" s="16"/>
      <c r="J57" s="16"/>
      <c r="K57" s="16"/>
      <c r="L57" s="16"/>
      <c r="M57" s="16"/>
      <c r="N57" s="16"/>
      <c r="O57" s="16"/>
      <c r="P57" s="16"/>
      <c r="Q57" s="16"/>
      <c r="R57" s="16"/>
      <c r="S57" s="16"/>
    </row>
    <row r="58" spans="1:31" x14ac:dyDescent="0.25">
      <c r="A58" s="350" t="s">
        <v>46</v>
      </c>
      <c r="B58" s="350"/>
      <c r="C58" s="334"/>
      <c r="D58" s="334"/>
      <c r="E58" s="334"/>
      <c r="F58" s="335"/>
      <c r="G58" s="335"/>
      <c r="H58" s="335"/>
      <c r="I58" s="335"/>
      <c r="J58" s="335"/>
      <c r="K58" s="335"/>
      <c r="L58" s="335"/>
      <c r="M58" s="351">
        <f t="shared" ref="M58:R58" si="20">SUM(M33,M52)</f>
        <v>145000</v>
      </c>
      <c r="N58" s="351">
        <f t="shared" si="20"/>
        <v>147900</v>
      </c>
      <c r="O58" s="351">
        <f t="shared" si="20"/>
        <v>175858</v>
      </c>
      <c r="P58" s="351">
        <f t="shared" si="20"/>
        <v>209375.16</v>
      </c>
      <c r="Q58" s="351">
        <f t="shared" si="20"/>
        <v>0</v>
      </c>
      <c r="R58" s="351">
        <f t="shared" si="20"/>
        <v>0</v>
      </c>
      <c r="S58" s="25"/>
    </row>
    <row r="59" spans="1:31" x14ac:dyDescent="0.25">
      <c r="A59" s="350" t="s">
        <v>47</v>
      </c>
      <c r="B59" s="350"/>
      <c r="C59" s="334"/>
      <c r="D59" s="334"/>
      <c r="E59" s="334"/>
      <c r="F59" s="335"/>
      <c r="G59" s="335"/>
      <c r="H59" s="335"/>
      <c r="I59" s="335"/>
      <c r="J59" s="335"/>
      <c r="K59" s="335"/>
      <c r="L59" s="335"/>
      <c r="M59" s="351">
        <f t="shared" ref="M59:R59" si="21">SUM(M34,M53)</f>
        <v>36250</v>
      </c>
      <c r="N59" s="351">
        <f t="shared" si="21"/>
        <v>36975</v>
      </c>
      <c r="O59" s="351">
        <f t="shared" si="21"/>
        <v>43964.5</v>
      </c>
      <c r="P59" s="351">
        <f t="shared" si="21"/>
        <v>47138.79</v>
      </c>
      <c r="Q59" s="351">
        <f t="shared" si="21"/>
        <v>0</v>
      </c>
      <c r="R59" s="351">
        <f t="shared" si="21"/>
        <v>0</v>
      </c>
      <c r="S59" s="25"/>
      <c r="W59" s="205"/>
    </row>
    <row r="60" spans="1:31" ht="15.75" x14ac:dyDescent="0.25">
      <c r="A60" s="380" t="s">
        <v>48</v>
      </c>
      <c r="B60" s="380"/>
      <c r="C60" s="381"/>
      <c r="D60" s="381"/>
      <c r="E60" s="381"/>
      <c r="F60" s="382"/>
      <c r="G60" s="382"/>
      <c r="H60" s="382"/>
      <c r="I60" s="382"/>
      <c r="J60" s="382"/>
      <c r="K60" s="382"/>
      <c r="L60" s="382"/>
      <c r="M60" s="383">
        <f t="shared" ref="M60:R60" si="22">SUM(M35,M54)</f>
        <v>181250</v>
      </c>
      <c r="N60" s="383">
        <f t="shared" si="22"/>
        <v>184875</v>
      </c>
      <c r="O60" s="383">
        <f t="shared" si="22"/>
        <v>219822.5</v>
      </c>
      <c r="P60" s="383">
        <f t="shared" si="22"/>
        <v>256513.95</v>
      </c>
      <c r="Q60" s="383">
        <f t="shared" si="22"/>
        <v>0</v>
      </c>
      <c r="R60" s="383">
        <f t="shared" si="22"/>
        <v>0</v>
      </c>
      <c r="S60" s="25"/>
    </row>
  </sheetData>
  <sheetProtection algorithmName="SHA-512" hashValue="crVVAPflPtS8GrTc2SWYT0fR6ewFh5c20psA8vEHZDHyYR4/4TOAWLLfgIcJELvKS60irdcGdOkht/ysL1ZaCQ==" saltValue="pRjYGsHfsq5CX8iqi7IH4g==" spinCount="100000" sheet="1" objects="1" scenarios="1"/>
  <mergeCells count="33">
    <mergeCell ref="B4:D4"/>
    <mergeCell ref="B5:D5"/>
    <mergeCell ref="A9:P9"/>
    <mergeCell ref="A11:P11"/>
    <mergeCell ref="A10:S10"/>
    <mergeCell ref="A29:C29"/>
    <mergeCell ref="A30:C30"/>
    <mergeCell ref="A16:C16"/>
    <mergeCell ref="A17:C17"/>
    <mergeCell ref="A18:C18"/>
    <mergeCell ref="A19:C19"/>
    <mergeCell ref="A20:C20"/>
    <mergeCell ref="A21:C21"/>
    <mergeCell ref="A22:C22"/>
    <mergeCell ref="A23:C23"/>
    <mergeCell ref="A24:C24"/>
    <mergeCell ref="A25:C25"/>
    <mergeCell ref="G14:L14"/>
    <mergeCell ref="G38:L38"/>
    <mergeCell ref="A50:B50"/>
    <mergeCell ref="A45:B45"/>
    <mergeCell ref="A46:B46"/>
    <mergeCell ref="A47:B47"/>
    <mergeCell ref="A48:B48"/>
    <mergeCell ref="A49:B49"/>
    <mergeCell ref="A31:C31"/>
    <mergeCell ref="A41:B41"/>
    <mergeCell ref="A42:B42"/>
    <mergeCell ref="A43:B43"/>
    <mergeCell ref="A44:B44"/>
    <mergeCell ref="A26:C26"/>
    <mergeCell ref="A27:C27"/>
    <mergeCell ref="A28:C28"/>
  </mergeCells>
  <dataValidations count="2">
    <dataValidation type="list" allowBlank="1" showInputMessage="1" showErrorMessage="1" sqref="C40:C50" xr:uid="{00000000-0002-0000-0800-000000000000}">
      <formula1>$X$40:$X$45</formula1>
    </dataValidation>
    <dataValidation type="list" allowBlank="1" showInputMessage="1" showErrorMessage="1" sqref="E40:E50 E16:E31" xr:uid="{00000000-0002-0000-0800-000001000000}">
      <formula1>$X$16:$X$17</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R48"/>
  <sheetViews>
    <sheetView workbookViewId="0"/>
  </sheetViews>
  <sheetFormatPr defaultColWidth="9.140625" defaultRowHeight="15" x14ac:dyDescent="0.25"/>
  <cols>
    <col min="1" max="1" width="10.7109375" style="3" customWidth="1"/>
    <col min="2" max="2" width="9.140625" style="3"/>
    <col min="3" max="3" width="26.42578125" style="3" customWidth="1"/>
    <col min="4" max="7" width="16.28515625" style="3" customWidth="1"/>
    <col min="8" max="9" width="16.28515625" style="3" hidden="1" customWidth="1"/>
    <col min="10" max="10" width="41.140625" style="3" customWidth="1"/>
    <col min="11" max="17" width="9.140625" style="3"/>
    <col min="18" max="18" width="0" style="3" hidden="1" customWidth="1"/>
    <col min="19" max="16384" width="9.140625" style="3"/>
  </cols>
  <sheetData>
    <row r="1" spans="1:18" ht="18.75" x14ac:dyDescent="0.3">
      <c r="A1" s="4" t="s">
        <v>343</v>
      </c>
      <c r="B1" s="4"/>
      <c r="C1" s="4"/>
      <c r="D1" s="4"/>
    </row>
    <row r="2" spans="1:18" ht="18.75" x14ac:dyDescent="0.3">
      <c r="A2" s="31" t="s">
        <v>405</v>
      </c>
      <c r="B2" s="4"/>
      <c r="C2" s="4"/>
      <c r="D2" s="4"/>
      <c r="L2" s="44"/>
      <c r="M2" s="44"/>
      <c r="N2" s="44"/>
      <c r="O2" s="44"/>
      <c r="P2" s="44"/>
    </row>
    <row r="3" spans="1:18" ht="15" customHeight="1" x14ac:dyDescent="0.3">
      <c r="A3" s="4"/>
      <c r="B3" s="4"/>
      <c r="C3" s="4"/>
      <c r="D3" s="4"/>
      <c r="L3" s="144"/>
      <c r="M3" s="44"/>
      <c r="N3" s="44"/>
      <c r="O3" s="44"/>
      <c r="P3" s="44"/>
    </row>
    <row r="4" spans="1:18" ht="15.75" x14ac:dyDescent="0.25">
      <c r="A4" s="7" t="s">
        <v>1</v>
      </c>
      <c r="B4" s="412" t="str">
        <f>'1. Institution-wide Data'!$B$4</f>
        <v>University of X</v>
      </c>
      <c r="C4" s="413"/>
      <c r="D4" s="414"/>
      <c r="E4" s="44"/>
      <c r="L4" s="44"/>
      <c r="M4" s="44"/>
      <c r="N4" s="44"/>
      <c r="O4" s="44"/>
      <c r="P4" s="44"/>
    </row>
    <row r="5" spans="1:18" ht="15.75" x14ac:dyDescent="0.25">
      <c r="A5" s="7" t="s">
        <v>0</v>
      </c>
      <c r="B5" s="415" t="str">
        <f>'1. Institution-wide Data'!$B$5</f>
        <v>Invest in Advising Technology</v>
      </c>
      <c r="C5" s="416"/>
      <c r="D5" s="417"/>
      <c r="E5" s="44"/>
      <c r="L5" s="144"/>
      <c r="M5" s="44"/>
      <c r="N5" s="44"/>
      <c r="O5" s="44"/>
      <c r="P5" s="44"/>
    </row>
    <row r="6" spans="1:18" ht="15.75" x14ac:dyDescent="0.25">
      <c r="A6" s="7"/>
      <c r="B6" s="44"/>
      <c r="C6" s="44"/>
      <c r="D6" s="44"/>
      <c r="E6" s="44"/>
      <c r="L6" s="144"/>
      <c r="M6" s="44"/>
      <c r="N6" s="44"/>
      <c r="O6" s="44"/>
      <c r="P6" s="44"/>
    </row>
    <row r="7" spans="1:18" ht="15.75" x14ac:dyDescent="0.25">
      <c r="A7" s="287" t="s">
        <v>77</v>
      </c>
      <c r="B7" s="288"/>
      <c r="C7" s="288"/>
      <c r="D7" s="288"/>
      <c r="E7" s="288"/>
      <c r="F7" s="288"/>
      <c r="G7" s="288"/>
      <c r="H7" s="288"/>
      <c r="I7" s="288"/>
      <c r="J7" s="288"/>
      <c r="L7" s="144"/>
      <c r="M7" s="44"/>
      <c r="N7" s="44"/>
      <c r="O7" s="44"/>
      <c r="P7" s="44"/>
    </row>
    <row r="8" spans="1:18" x14ac:dyDescent="0.25">
      <c r="L8" s="44"/>
      <c r="M8" s="44"/>
      <c r="N8" s="44"/>
      <c r="O8" s="44"/>
      <c r="P8" s="44"/>
    </row>
    <row r="9" spans="1:18" x14ac:dyDescent="0.25">
      <c r="A9" s="458" t="s">
        <v>392</v>
      </c>
      <c r="B9" s="458"/>
      <c r="C9" s="458"/>
      <c r="D9" s="458"/>
      <c r="E9" s="458"/>
      <c r="F9" s="458"/>
      <c r="G9" s="458"/>
      <c r="H9" s="458"/>
      <c r="I9" s="458"/>
      <c r="J9" s="458"/>
      <c r="L9" s="44"/>
      <c r="M9" s="44"/>
      <c r="N9" s="44"/>
      <c r="O9" s="44"/>
      <c r="P9" s="44"/>
    </row>
    <row r="10" spans="1:18" x14ac:dyDescent="0.25">
      <c r="A10" s="462" t="s">
        <v>214</v>
      </c>
      <c r="B10" s="462"/>
      <c r="C10" s="462"/>
      <c r="D10" s="462"/>
      <c r="E10" s="462"/>
      <c r="F10" s="462"/>
      <c r="G10" s="462"/>
      <c r="H10" s="462"/>
      <c r="I10" s="462"/>
      <c r="J10" s="462"/>
    </row>
    <row r="11" spans="1:18" s="12" customFormat="1" ht="15" customHeight="1" x14ac:dyDescent="0.25">
      <c r="A11" s="462" t="s">
        <v>110</v>
      </c>
      <c r="B11" s="462"/>
      <c r="C11" s="462"/>
      <c r="D11" s="462"/>
      <c r="E11" s="462"/>
      <c r="F11" s="462"/>
      <c r="G11" s="462"/>
      <c r="H11" s="462"/>
      <c r="I11" s="462"/>
      <c r="J11" s="462"/>
      <c r="L11" s="3"/>
      <c r="M11" s="3"/>
      <c r="N11" s="3"/>
      <c r="O11" s="3"/>
      <c r="P11" s="3"/>
    </row>
    <row r="12" spans="1:18" x14ac:dyDescent="0.25">
      <c r="B12" s="15"/>
      <c r="C12" s="15"/>
      <c r="D12" s="15"/>
      <c r="E12" s="15"/>
      <c r="F12" s="15"/>
      <c r="G12" s="15"/>
    </row>
    <row r="13" spans="1:18" ht="30" x14ac:dyDescent="0.25">
      <c r="A13" s="8"/>
      <c r="B13" s="8"/>
      <c r="C13" s="8"/>
      <c r="D13" s="34" t="s">
        <v>206</v>
      </c>
      <c r="E13" s="20" t="s">
        <v>3</v>
      </c>
      <c r="F13" s="20" t="s">
        <v>4</v>
      </c>
      <c r="G13" s="20" t="s">
        <v>5</v>
      </c>
      <c r="H13" s="20" t="s">
        <v>6</v>
      </c>
      <c r="I13" s="20" t="s">
        <v>7</v>
      </c>
      <c r="J13" s="21" t="s">
        <v>8</v>
      </c>
      <c r="L13" s="12"/>
      <c r="M13" s="12"/>
      <c r="N13" s="12"/>
      <c r="O13" s="12"/>
      <c r="P13" s="12"/>
    </row>
    <row r="14" spans="1:18" x14ac:dyDescent="0.25">
      <c r="A14" s="46" t="s">
        <v>12</v>
      </c>
      <c r="B14" s="8"/>
      <c r="C14" s="8"/>
      <c r="D14" s="23"/>
      <c r="E14" s="23"/>
      <c r="F14" s="23"/>
      <c r="G14" s="23"/>
      <c r="H14" s="23"/>
      <c r="I14" s="23"/>
      <c r="J14" s="24"/>
    </row>
    <row r="15" spans="1:18" x14ac:dyDescent="0.25">
      <c r="A15" s="47" t="s">
        <v>157</v>
      </c>
      <c r="B15" s="8"/>
      <c r="C15" s="8"/>
      <c r="D15" s="352">
        <v>5000</v>
      </c>
      <c r="E15" s="354">
        <f t="shared" ref="E15:I18" si="0">D15*$R$15</f>
        <v>5100</v>
      </c>
      <c r="F15" s="354">
        <f t="shared" si="0"/>
        <v>5202</v>
      </c>
      <c r="G15" s="354">
        <f t="shared" si="0"/>
        <v>5306.04</v>
      </c>
      <c r="H15" s="354">
        <f t="shared" si="0"/>
        <v>5412.1607999999997</v>
      </c>
      <c r="I15" s="354">
        <f t="shared" si="0"/>
        <v>5520.4040159999995</v>
      </c>
      <c r="J15" s="317"/>
      <c r="R15" s="3">
        <v>1.02</v>
      </c>
    </row>
    <row r="16" spans="1:18" x14ac:dyDescent="0.25">
      <c r="A16" s="47" t="s">
        <v>17</v>
      </c>
      <c r="B16" s="8"/>
      <c r="C16" s="8"/>
      <c r="D16" s="352"/>
      <c r="E16" s="354">
        <f t="shared" si="0"/>
        <v>0</v>
      </c>
      <c r="F16" s="354">
        <f t="shared" si="0"/>
        <v>0</v>
      </c>
      <c r="G16" s="354">
        <f t="shared" si="0"/>
        <v>0</v>
      </c>
      <c r="H16" s="354">
        <f t="shared" si="0"/>
        <v>0</v>
      </c>
      <c r="I16" s="354">
        <f t="shared" si="0"/>
        <v>0</v>
      </c>
      <c r="J16" s="317"/>
    </row>
    <row r="17" spans="1:10" x14ac:dyDescent="0.25">
      <c r="A17" s="48" t="s">
        <v>13</v>
      </c>
      <c r="B17" s="8"/>
      <c r="C17" s="8"/>
      <c r="D17" s="352"/>
      <c r="E17" s="354">
        <f t="shared" si="0"/>
        <v>0</v>
      </c>
      <c r="F17" s="354">
        <f t="shared" si="0"/>
        <v>0</v>
      </c>
      <c r="G17" s="354">
        <f t="shared" si="0"/>
        <v>0</v>
      </c>
      <c r="H17" s="354">
        <f t="shared" si="0"/>
        <v>0</v>
      </c>
      <c r="I17" s="354">
        <f t="shared" si="0"/>
        <v>0</v>
      </c>
      <c r="J17" s="317"/>
    </row>
    <row r="18" spans="1:10" x14ac:dyDescent="0.25">
      <c r="A18" s="48" t="s">
        <v>14</v>
      </c>
      <c r="B18" s="8"/>
      <c r="C18" s="8"/>
      <c r="D18" s="352"/>
      <c r="E18" s="354">
        <f t="shared" si="0"/>
        <v>0</v>
      </c>
      <c r="F18" s="354">
        <f t="shared" si="0"/>
        <v>0</v>
      </c>
      <c r="G18" s="354">
        <f t="shared" si="0"/>
        <v>0</v>
      </c>
      <c r="H18" s="354">
        <f t="shared" si="0"/>
        <v>0</v>
      </c>
      <c r="I18" s="354">
        <f t="shared" si="0"/>
        <v>0</v>
      </c>
      <c r="J18" s="317"/>
    </row>
    <row r="19" spans="1:10" ht="7.5" customHeight="1" x14ac:dyDescent="0.25">
      <c r="A19" s="52"/>
      <c r="B19" s="8"/>
      <c r="C19" s="8"/>
      <c r="D19" s="27"/>
      <c r="E19" s="27"/>
      <c r="F19" s="27"/>
      <c r="G19" s="27"/>
      <c r="H19" s="28"/>
      <c r="I19" s="28"/>
      <c r="J19" s="236"/>
    </row>
    <row r="20" spans="1:10" x14ac:dyDescent="0.25">
      <c r="A20" s="53" t="s">
        <v>241</v>
      </c>
      <c r="B20" s="8"/>
      <c r="C20" s="8"/>
      <c r="D20" s="27"/>
      <c r="E20" s="27"/>
      <c r="F20" s="27"/>
      <c r="G20" s="27"/>
      <c r="H20" s="28"/>
      <c r="I20" s="28"/>
      <c r="J20" s="236"/>
    </row>
    <row r="21" spans="1:10" x14ac:dyDescent="0.25">
      <c r="A21" s="48" t="s">
        <v>158</v>
      </c>
      <c r="B21" s="8"/>
      <c r="C21" s="8"/>
      <c r="D21" s="257">
        <f t="shared" ref="D21:I21" si="1">SUM(D22:D23)</f>
        <v>120000</v>
      </c>
      <c r="E21" s="257">
        <f t="shared" si="1"/>
        <v>122400</v>
      </c>
      <c r="F21" s="257">
        <f t="shared" si="1"/>
        <v>124848</v>
      </c>
      <c r="G21" s="257">
        <f t="shared" si="1"/>
        <v>127344.96000000001</v>
      </c>
      <c r="H21" s="257">
        <f t="shared" si="1"/>
        <v>129891.85920000001</v>
      </c>
      <c r="I21" s="257">
        <f t="shared" si="1"/>
        <v>132489.69638400001</v>
      </c>
      <c r="J21" s="353"/>
    </row>
    <row r="22" spans="1:10" x14ac:dyDescent="0.25">
      <c r="A22" s="54" t="s">
        <v>159</v>
      </c>
      <c r="B22" s="8"/>
      <c r="C22" s="8"/>
      <c r="D22" s="352">
        <v>120000</v>
      </c>
      <c r="E22" s="354">
        <f t="shared" ref="E22:I23" si="2">D22*$R$15</f>
        <v>122400</v>
      </c>
      <c r="F22" s="354">
        <f t="shared" si="2"/>
        <v>124848</v>
      </c>
      <c r="G22" s="354">
        <f t="shared" si="2"/>
        <v>127344.96000000001</v>
      </c>
      <c r="H22" s="354">
        <f t="shared" si="2"/>
        <v>129891.85920000001</v>
      </c>
      <c r="I22" s="354">
        <f t="shared" si="2"/>
        <v>132489.69638400001</v>
      </c>
      <c r="J22" s="317"/>
    </row>
    <row r="23" spans="1:10" x14ac:dyDescent="0.25">
      <c r="A23" s="54" t="s">
        <v>15</v>
      </c>
      <c r="B23" s="8"/>
      <c r="C23" s="8"/>
      <c r="D23" s="352"/>
      <c r="E23" s="354">
        <f t="shared" si="2"/>
        <v>0</v>
      </c>
      <c r="F23" s="354">
        <f t="shared" si="2"/>
        <v>0</v>
      </c>
      <c r="G23" s="354">
        <f t="shared" si="2"/>
        <v>0</v>
      </c>
      <c r="H23" s="354">
        <f t="shared" si="2"/>
        <v>0</v>
      </c>
      <c r="I23" s="354">
        <f t="shared" si="2"/>
        <v>0</v>
      </c>
      <c r="J23" s="317"/>
    </row>
    <row r="24" spans="1:10" x14ac:dyDescent="0.25">
      <c r="A24" s="47" t="s">
        <v>160</v>
      </c>
      <c r="B24" s="8"/>
      <c r="C24" s="8"/>
      <c r="D24" s="352"/>
      <c r="E24" s="354">
        <f t="shared" ref="E24:I26" si="3">D24*$R$15</f>
        <v>0</v>
      </c>
      <c r="F24" s="354">
        <f t="shared" si="3"/>
        <v>0</v>
      </c>
      <c r="G24" s="354">
        <f t="shared" si="3"/>
        <v>0</v>
      </c>
      <c r="H24" s="354">
        <f t="shared" si="3"/>
        <v>0</v>
      </c>
      <c r="I24" s="354">
        <f t="shared" si="3"/>
        <v>0</v>
      </c>
      <c r="J24" s="317"/>
    </row>
    <row r="25" spans="1:10" x14ac:dyDescent="0.25">
      <c r="A25" s="47" t="s">
        <v>161</v>
      </c>
      <c r="B25" s="8"/>
      <c r="C25" s="8"/>
      <c r="D25" s="352"/>
      <c r="E25" s="354">
        <f t="shared" si="3"/>
        <v>0</v>
      </c>
      <c r="F25" s="354">
        <f t="shared" si="3"/>
        <v>0</v>
      </c>
      <c r="G25" s="354">
        <f t="shared" si="3"/>
        <v>0</v>
      </c>
      <c r="H25" s="354">
        <f t="shared" si="3"/>
        <v>0</v>
      </c>
      <c r="I25" s="354">
        <f t="shared" si="3"/>
        <v>0</v>
      </c>
      <c r="J25" s="317"/>
    </row>
    <row r="26" spans="1:10" x14ac:dyDescent="0.25">
      <c r="A26" s="47" t="s">
        <v>162</v>
      </c>
      <c r="B26" s="8"/>
      <c r="C26" s="8"/>
      <c r="D26" s="352"/>
      <c r="E26" s="354">
        <f t="shared" si="3"/>
        <v>0</v>
      </c>
      <c r="F26" s="354">
        <f t="shared" si="3"/>
        <v>0</v>
      </c>
      <c r="G26" s="354">
        <f t="shared" si="3"/>
        <v>0</v>
      </c>
      <c r="H26" s="354">
        <f t="shared" si="3"/>
        <v>0</v>
      </c>
      <c r="I26" s="354">
        <f t="shared" si="3"/>
        <v>0</v>
      </c>
      <c r="J26" s="317"/>
    </row>
    <row r="27" spans="1:10" x14ac:dyDescent="0.25">
      <c r="A27" s="47" t="s">
        <v>74</v>
      </c>
      <c r="B27" s="8"/>
      <c r="C27" s="8"/>
      <c r="D27" s="352"/>
      <c r="E27" s="354">
        <f t="shared" ref="E27:I29" si="4">D27*$R$15</f>
        <v>0</v>
      </c>
      <c r="F27" s="354">
        <f t="shared" si="4"/>
        <v>0</v>
      </c>
      <c r="G27" s="354">
        <f t="shared" si="4"/>
        <v>0</v>
      </c>
      <c r="H27" s="354">
        <f t="shared" si="4"/>
        <v>0</v>
      </c>
      <c r="I27" s="354">
        <f t="shared" si="4"/>
        <v>0</v>
      </c>
      <c r="J27" s="317"/>
    </row>
    <row r="28" spans="1:10" x14ac:dyDescent="0.25">
      <c r="A28" s="47" t="s">
        <v>73</v>
      </c>
      <c r="B28" s="8"/>
      <c r="C28" s="8"/>
      <c r="D28" s="352"/>
      <c r="E28" s="354">
        <f t="shared" si="4"/>
        <v>0</v>
      </c>
      <c r="F28" s="354">
        <f t="shared" si="4"/>
        <v>0</v>
      </c>
      <c r="G28" s="354">
        <f t="shared" si="4"/>
        <v>0</v>
      </c>
      <c r="H28" s="354">
        <f t="shared" si="4"/>
        <v>0</v>
      </c>
      <c r="I28" s="354">
        <f t="shared" si="4"/>
        <v>0</v>
      </c>
      <c r="J28" s="317"/>
    </row>
    <row r="29" spans="1:10" x14ac:dyDescent="0.25">
      <c r="A29" s="47" t="s">
        <v>75</v>
      </c>
      <c r="B29" s="8"/>
      <c r="C29" s="8"/>
      <c r="D29" s="352"/>
      <c r="E29" s="354">
        <f t="shared" si="4"/>
        <v>0</v>
      </c>
      <c r="F29" s="354">
        <f t="shared" si="4"/>
        <v>0</v>
      </c>
      <c r="G29" s="354">
        <f t="shared" si="4"/>
        <v>0</v>
      </c>
      <c r="H29" s="354">
        <f t="shared" si="4"/>
        <v>0</v>
      </c>
      <c r="I29" s="354">
        <f t="shared" si="4"/>
        <v>0</v>
      </c>
      <c r="J29" s="317"/>
    </row>
    <row r="30" spans="1:10" ht="7.5" customHeight="1" x14ac:dyDescent="0.25">
      <c r="A30" s="8"/>
      <c r="B30" s="8"/>
      <c r="C30" s="8"/>
      <c r="D30" s="29"/>
      <c r="E30" s="29"/>
      <c r="F30" s="29"/>
      <c r="G30" s="29"/>
      <c r="H30" s="30"/>
      <c r="I30" s="30"/>
      <c r="J30" s="236"/>
    </row>
    <row r="31" spans="1:10" x14ac:dyDescent="0.25">
      <c r="A31" s="46" t="s">
        <v>240</v>
      </c>
      <c r="B31" s="8"/>
      <c r="C31" s="8"/>
      <c r="D31" s="29"/>
      <c r="E31" s="29"/>
      <c r="F31" s="29"/>
      <c r="G31" s="29"/>
      <c r="H31" s="30"/>
      <c r="I31" s="30"/>
      <c r="J31" s="236"/>
    </row>
    <row r="32" spans="1:10" x14ac:dyDescent="0.25">
      <c r="A32" s="47" t="s">
        <v>163</v>
      </c>
      <c r="B32" s="8"/>
      <c r="C32" s="8"/>
      <c r="D32" s="352"/>
      <c r="E32" s="354">
        <f t="shared" ref="E32:I34" si="5">D32*$R$15</f>
        <v>0</v>
      </c>
      <c r="F32" s="354">
        <f t="shared" si="5"/>
        <v>0</v>
      </c>
      <c r="G32" s="354">
        <f t="shared" si="5"/>
        <v>0</v>
      </c>
      <c r="H32" s="354">
        <f t="shared" si="5"/>
        <v>0</v>
      </c>
      <c r="I32" s="354">
        <f t="shared" si="5"/>
        <v>0</v>
      </c>
      <c r="J32" s="317"/>
    </row>
    <row r="33" spans="1:10" x14ac:dyDescent="0.25">
      <c r="A33" s="47" t="s">
        <v>19</v>
      </c>
      <c r="B33" s="8"/>
      <c r="C33" s="8"/>
      <c r="D33" s="352"/>
      <c r="E33" s="354">
        <f t="shared" si="5"/>
        <v>0</v>
      </c>
      <c r="F33" s="354">
        <f t="shared" si="5"/>
        <v>0</v>
      </c>
      <c r="G33" s="354">
        <f t="shared" si="5"/>
        <v>0</v>
      </c>
      <c r="H33" s="354">
        <f t="shared" si="5"/>
        <v>0</v>
      </c>
      <c r="I33" s="354">
        <f t="shared" si="5"/>
        <v>0</v>
      </c>
      <c r="J33" s="317"/>
    </row>
    <row r="34" spans="1:10" x14ac:dyDescent="0.25">
      <c r="A34" s="47" t="s">
        <v>164</v>
      </c>
      <c r="B34" s="8"/>
      <c r="C34" s="8"/>
      <c r="D34" s="352">
        <v>10000</v>
      </c>
      <c r="E34" s="354">
        <f t="shared" si="5"/>
        <v>10200</v>
      </c>
      <c r="F34" s="354">
        <f t="shared" si="5"/>
        <v>10404</v>
      </c>
      <c r="G34" s="354">
        <f t="shared" si="5"/>
        <v>10612.08</v>
      </c>
      <c r="H34" s="354">
        <f t="shared" si="5"/>
        <v>10824.321599999999</v>
      </c>
      <c r="I34" s="354">
        <f t="shared" si="5"/>
        <v>11040.808031999999</v>
      </c>
      <c r="J34" s="317"/>
    </row>
    <row r="35" spans="1:10" ht="7.5" customHeight="1" x14ac:dyDescent="0.25">
      <c r="A35" s="47"/>
      <c r="B35" s="8"/>
      <c r="C35" s="8"/>
      <c r="D35" s="29"/>
      <c r="E35" s="29"/>
      <c r="F35" s="29"/>
      <c r="G35" s="29"/>
      <c r="H35" s="30"/>
      <c r="I35" s="30"/>
      <c r="J35" s="236"/>
    </row>
    <row r="36" spans="1:10" x14ac:dyDescent="0.25">
      <c r="A36" s="46" t="s">
        <v>10</v>
      </c>
      <c r="B36" s="8"/>
      <c r="C36" s="8"/>
      <c r="D36" s="29"/>
      <c r="E36" s="29"/>
      <c r="F36" s="29"/>
      <c r="G36" s="29"/>
      <c r="H36" s="30"/>
      <c r="I36" s="30"/>
      <c r="J36" s="236"/>
    </row>
    <row r="37" spans="1:10" x14ac:dyDescent="0.25">
      <c r="A37" s="47" t="s">
        <v>165</v>
      </c>
      <c r="B37" s="8"/>
      <c r="C37" s="8"/>
      <c r="D37" s="352"/>
      <c r="E37" s="354">
        <f t="shared" ref="E37:I39" si="6">D37*$R$15</f>
        <v>0</v>
      </c>
      <c r="F37" s="354">
        <f t="shared" si="6"/>
        <v>0</v>
      </c>
      <c r="G37" s="354">
        <f t="shared" si="6"/>
        <v>0</v>
      </c>
      <c r="H37" s="354">
        <f t="shared" si="6"/>
        <v>0</v>
      </c>
      <c r="I37" s="354">
        <f t="shared" si="6"/>
        <v>0</v>
      </c>
      <c r="J37" s="317"/>
    </row>
    <row r="38" spans="1:10" x14ac:dyDescent="0.25">
      <c r="A38" s="47" t="s">
        <v>16</v>
      </c>
      <c r="B38" s="8"/>
      <c r="C38" s="8"/>
      <c r="D38" s="352"/>
      <c r="E38" s="354">
        <f t="shared" si="6"/>
        <v>0</v>
      </c>
      <c r="F38" s="354">
        <f t="shared" si="6"/>
        <v>0</v>
      </c>
      <c r="G38" s="354">
        <f t="shared" si="6"/>
        <v>0</v>
      </c>
      <c r="H38" s="354">
        <f t="shared" si="6"/>
        <v>0</v>
      </c>
      <c r="I38" s="354">
        <f t="shared" si="6"/>
        <v>0</v>
      </c>
      <c r="J38" s="317"/>
    </row>
    <row r="39" spans="1:10" x14ac:dyDescent="0.25">
      <c r="A39" s="47" t="s">
        <v>11</v>
      </c>
      <c r="B39" s="8"/>
      <c r="C39" s="8"/>
      <c r="D39" s="352"/>
      <c r="E39" s="354">
        <f t="shared" si="6"/>
        <v>0</v>
      </c>
      <c r="F39" s="354">
        <f t="shared" si="6"/>
        <v>0</v>
      </c>
      <c r="G39" s="354">
        <f t="shared" si="6"/>
        <v>0</v>
      </c>
      <c r="H39" s="354">
        <f t="shared" si="6"/>
        <v>0</v>
      </c>
      <c r="I39" s="354">
        <f t="shared" si="6"/>
        <v>0</v>
      </c>
      <c r="J39" s="317"/>
    </row>
    <row r="40" spans="1:10" x14ac:dyDescent="0.25">
      <c r="A40" s="55"/>
      <c r="B40" s="8"/>
      <c r="C40" s="8"/>
      <c r="D40" s="29"/>
      <c r="E40" s="29"/>
      <c r="F40" s="29"/>
      <c r="G40" s="29"/>
      <c r="H40" s="30"/>
      <c r="I40" s="30"/>
      <c r="J40" s="236"/>
    </row>
    <row r="41" spans="1:10" x14ac:dyDescent="0.25">
      <c r="A41" s="46" t="s">
        <v>18</v>
      </c>
      <c r="B41" s="8"/>
      <c r="C41" s="8"/>
      <c r="D41" s="257">
        <f t="shared" ref="D41:I41" si="7">SUM(D46:D48)</f>
        <v>0</v>
      </c>
      <c r="E41" s="257">
        <f t="shared" si="7"/>
        <v>0</v>
      </c>
      <c r="F41" s="257">
        <f t="shared" si="7"/>
        <v>0</v>
      </c>
      <c r="G41" s="257">
        <f t="shared" si="7"/>
        <v>0</v>
      </c>
      <c r="H41" s="257">
        <f t="shared" si="7"/>
        <v>0</v>
      </c>
      <c r="I41" s="257">
        <f t="shared" si="7"/>
        <v>0</v>
      </c>
      <c r="J41" s="353"/>
    </row>
    <row r="42" spans="1:10" x14ac:dyDescent="0.25">
      <c r="A42" s="16"/>
      <c r="B42" s="16"/>
      <c r="C42" s="16"/>
      <c r="D42" s="16"/>
      <c r="E42" s="16"/>
      <c r="F42" s="16"/>
      <c r="G42" s="16"/>
      <c r="H42" s="16"/>
      <c r="I42" s="16"/>
      <c r="J42" s="236"/>
    </row>
    <row r="43" spans="1:10" ht="15.75" x14ac:dyDescent="0.25">
      <c r="A43" s="287" t="s">
        <v>78</v>
      </c>
      <c r="B43" s="288"/>
      <c r="C43" s="288"/>
      <c r="D43" s="323">
        <f t="shared" ref="D43:I43" si="8">SUM(D15:D18,D22:D29,D32:D34,D37:D39,D41)</f>
        <v>135000</v>
      </c>
      <c r="E43" s="323">
        <f t="shared" si="8"/>
        <v>137700</v>
      </c>
      <c r="F43" s="323">
        <f t="shared" si="8"/>
        <v>140454</v>
      </c>
      <c r="G43" s="323">
        <f t="shared" si="8"/>
        <v>143263.07999999999</v>
      </c>
      <c r="H43" s="323">
        <f t="shared" si="8"/>
        <v>146128.34160000001</v>
      </c>
      <c r="I43" s="323">
        <f t="shared" si="8"/>
        <v>149050.908432</v>
      </c>
      <c r="J43" s="236"/>
    </row>
    <row r="44" spans="1:10" x14ac:dyDescent="0.25">
      <c r="A44" s="16"/>
      <c r="B44" s="16"/>
      <c r="C44" s="16"/>
      <c r="D44" s="16"/>
      <c r="E44" s="16"/>
      <c r="F44" s="16"/>
      <c r="G44" s="16"/>
      <c r="H44" s="16"/>
      <c r="I44" s="16"/>
      <c r="J44" s="236"/>
    </row>
    <row r="45" spans="1:10" x14ac:dyDescent="0.25">
      <c r="A45" s="25" t="s">
        <v>20</v>
      </c>
      <c r="B45" s="16"/>
      <c r="C45" s="16"/>
      <c r="D45" s="16"/>
      <c r="E45" s="16"/>
      <c r="F45" s="16"/>
      <c r="G45" s="16"/>
      <c r="H45" s="16"/>
      <c r="I45" s="16"/>
      <c r="J45" s="236"/>
    </row>
    <row r="46" spans="1:10" x14ac:dyDescent="0.25">
      <c r="A46" s="26" t="s">
        <v>9</v>
      </c>
      <c r="B46" s="255"/>
      <c r="C46" s="255"/>
      <c r="D46" s="352"/>
      <c r="E46" s="354">
        <f t="shared" ref="E46:I48" si="9">D46*$R$15</f>
        <v>0</v>
      </c>
      <c r="F46" s="354">
        <f t="shared" si="9"/>
        <v>0</v>
      </c>
      <c r="G46" s="354">
        <f t="shared" si="9"/>
        <v>0</v>
      </c>
      <c r="H46" s="354">
        <f t="shared" si="9"/>
        <v>0</v>
      </c>
      <c r="I46" s="354">
        <f t="shared" si="9"/>
        <v>0</v>
      </c>
      <c r="J46" s="317"/>
    </row>
    <row r="47" spans="1:10" x14ac:dyDescent="0.25">
      <c r="A47" s="26" t="s">
        <v>9</v>
      </c>
      <c r="B47" s="255"/>
      <c r="C47" s="255"/>
      <c r="D47" s="352"/>
      <c r="E47" s="354">
        <f t="shared" si="9"/>
        <v>0</v>
      </c>
      <c r="F47" s="354">
        <f t="shared" si="9"/>
        <v>0</v>
      </c>
      <c r="G47" s="354">
        <f t="shared" si="9"/>
        <v>0</v>
      </c>
      <c r="H47" s="354">
        <f t="shared" si="9"/>
        <v>0</v>
      </c>
      <c r="I47" s="354">
        <f t="shared" si="9"/>
        <v>0</v>
      </c>
      <c r="J47" s="317"/>
    </row>
    <row r="48" spans="1:10" x14ac:dyDescent="0.25">
      <c r="A48" s="26" t="s">
        <v>9</v>
      </c>
      <c r="B48" s="255"/>
      <c r="C48" s="255"/>
      <c r="D48" s="352"/>
      <c r="E48" s="354">
        <f t="shared" si="9"/>
        <v>0</v>
      </c>
      <c r="F48" s="354">
        <f t="shared" si="9"/>
        <v>0</v>
      </c>
      <c r="G48" s="354">
        <f t="shared" si="9"/>
        <v>0</v>
      </c>
      <c r="H48" s="354">
        <f t="shared" si="9"/>
        <v>0</v>
      </c>
      <c r="I48" s="354">
        <f t="shared" si="9"/>
        <v>0</v>
      </c>
      <c r="J48" s="317"/>
    </row>
  </sheetData>
  <sheetProtection algorithmName="SHA-512" hashValue="vqFwmRaKtg3P60eCS3sAIPASum1+oHPz5oY8UYU3jIZoRdqiz1JDGqMuH8ksVkdfltO9DV+16WUsJzXsl5F7+g==" saltValue="FO0R8KXw7FfylZjgYqNq4A==" spinCount="100000" sheet="1" objects="1" scenarios="1"/>
  <mergeCells count="5">
    <mergeCell ref="A9:J9"/>
    <mergeCell ref="A11:J11"/>
    <mergeCell ref="A10:J10"/>
    <mergeCell ref="B4:D4"/>
    <mergeCell ref="B5: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R84"/>
  <sheetViews>
    <sheetView zoomScale="90" zoomScaleNormal="90" workbookViewId="0"/>
  </sheetViews>
  <sheetFormatPr defaultColWidth="8.85546875" defaultRowHeight="15" x14ac:dyDescent="0.25"/>
  <cols>
    <col min="1" max="1" width="46.140625" customWidth="1"/>
    <col min="2" max="2" width="17.28515625" customWidth="1"/>
    <col min="3" max="7" width="16.28515625" customWidth="1"/>
    <col min="8" max="8" width="65.42578125" customWidth="1"/>
    <col min="10" max="10" width="35.85546875" customWidth="1"/>
    <col min="11" max="14" width="11.140625" customWidth="1"/>
    <col min="18" max="19" width="23.42578125" customWidth="1"/>
  </cols>
  <sheetData>
    <row r="1" spans="1:15" ht="18.75" x14ac:dyDescent="0.3">
      <c r="A1" s="121" t="str">
        <f>'2a. Initiative - Desc. &amp; Enrl.'!A1</f>
        <v>EDUCAUSE Student Success Initiative Financial Model</v>
      </c>
      <c r="B1" s="121"/>
      <c r="C1" s="154" t="s">
        <v>171</v>
      </c>
      <c r="D1" s="154"/>
      <c r="E1" s="42"/>
      <c r="F1" s="131"/>
      <c r="G1" s="131"/>
      <c r="H1" s="131"/>
    </row>
    <row r="2" spans="1:15" ht="18.75" x14ac:dyDescent="0.3">
      <c r="A2" s="121" t="str">
        <f>'2a. Initiative - Desc. &amp; Enrl.'!A2</f>
        <v>Developed by rpk GROUP, 2018 (v. 2.3). All rights reserved.</v>
      </c>
      <c r="B2" s="121"/>
      <c r="C2" s="121"/>
      <c r="D2" s="121"/>
      <c r="E2" s="122"/>
    </row>
    <row r="3" spans="1:15" ht="18.75" x14ac:dyDescent="0.3">
      <c r="A3" s="121"/>
      <c r="B3" s="121"/>
      <c r="C3" s="121"/>
      <c r="D3" s="121"/>
      <c r="E3" s="122"/>
    </row>
    <row r="4" spans="1:15" ht="15.75" x14ac:dyDescent="0.25">
      <c r="A4" s="123" t="s">
        <v>1</v>
      </c>
      <c r="B4" s="412" t="str">
        <f>'1. Institution-wide Data'!$B$4</f>
        <v>University of X</v>
      </c>
      <c r="C4" s="413"/>
      <c r="D4" s="414"/>
    </row>
    <row r="5" spans="1:15" ht="15.75" x14ac:dyDescent="0.25">
      <c r="A5" s="123" t="s">
        <v>0</v>
      </c>
      <c r="B5" s="415" t="str">
        <f>'1. Institution-wide Data'!$B$5</f>
        <v>Invest in Advising Technology</v>
      </c>
      <c r="C5" s="416"/>
      <c r="D5" s="417"/>
    </row>
    <row r="7" spans="1:15" ht="15.75" x14ac:dyDescent="0.25">
      <c r="A7" s="36" t="s">
        <v>108</v>
      </c>
      <c r="B7" s="92"/>
      <c r="C7" s="92"/>
      <c r="D7" s="92"/>
      <c r="E7" s="92"/>
      <c r="F7" s="92"/>
      <c r="G7" s="92"/>
      <c r="H7" s="92"/>
    </row>
    <row r="8" spans="1:15" ht="15.75" x14ac:dyDescent="0.25">
      <c r="A8" s="78"/>
    </row>
    <row r="9" spans="1:15" ht="15.75" x14ac:dyDescent="0.25">
      <c r="A9" s="75" t="s">
        <v>105</v>
      </c>
      <c r="B9" s="124"/>
      <c r="C9" s="124"/>
      <c r="D9" s="124"/>
      <c r="E9" s="124"/>
      <c r="F9" s="124"/>
      <c r="G9" s="124"/>
      <c r="H9" s="124"/>
    </row>
    <row r="10" spans="1:15" ht="15.75" x14ac:dyDescent="0.25">
      <c r="A10" s="78"/>
      <c r="C10" s="99"/>
      <c r="D10" s="99"/>
      <c r="E10" s="99"/>
      <c r="F10" s="99"/>
      <c r="G10" s="99"/>
    </row>
    <row r="11" spans="1:15" ht="15.75" x14ac:dyDescent="0.25">
      <c r="A11" s="78" t="s">
        <v>102</v>
      </c>
      <c r="C11" s="219"/>
      <c r="D11" s="99"/>
      <c r="E11" s="99"/>
      <c r="F11" s="99"/>
      <c r="G11" s="99"/>
    </row>
    <row r="12" spans="1:15" ht="27" customHeight="1" x14ac:dyDescent="0.25">
      <c r="A12" s="116"/>
      <c r="B12" s="20" t="s">
        <v>2</v>
      </c>
      <c r="C12" s="20" t="s">
        <v>3</v>
      </c>
      <c r="D12" s="20" t="s">
        <v>4</v>
      </c>
      <c r="E12" s="20" t="s">
        <v>5</v>
      </c>
      <c r="F12" s="20" t="s">
        <v>6</v>
      </c>
      <c r="G12" s="20" t="s">
        <v>7</v>
      </c>
      <c r="H12" s="21" t="s">
        <v>8</v>
      </c>
      <c r="J12" s="147" t="s">
        <v>170</v>
      </c>
      <c r="K12" s="34" t="s">
        <v>209</v>
      </c>
      <c r="L12" s="20" t="s">
        <v>3</v>
      </c>
      <c r="M12" s="20" t="s">
        <v>4</v>
      </c>
      <c r="N12" s="20" t="s">
        <v>5</v>
      </c>
    </row>
    <row r="13" spans="1:15" ht="45" x14ac:dyDescent="0.25">
      <c r="A13" s="64" t="s">
        <v>98</v>
      </c>
      <c r="B13" s="151">
        <f>'Success Metric &amp; ROI Estimates'!B13</f>
        <v>0.61199999999999999</v>
      </c>
      <c r="C13" s="151">
        <f>'Success Metric &amp; ROI Estimates'!C13</f>
        <v>0.61199999999999999</v>
      </c>
      <c r="D13" s="151">
        <f>'Success Metric &amp; ROI Estimates'!D13</f>
        <v>0.622</v>
      </c>
      <c r="E13" s="151">
        <f>'Success Metric &amp; ROI Estimates'!E13</f>
        <v>0.63200000000000001</v>
      </c>
      <c r="F13" s="151">
        <f>'Success Metric &amp; ROI Estimates'!F13</f>
        <v>0</v>
      </c>
      <c r="G13" s="151">
        <f>'Success Metric &amp; ROI Estimates'!G13</f>
        <v>0</v>
      </c>
      <c r="H13" s="145" t="s">
        <v>176</v>
      </c>
      <c r="J13" s="63" t="s">
        <v>93</v>
      </c>
      <c r="K13" s="108">
        <f>B13</f>
        <v>0.61199999999999999</v>
      </c>
      <c r="L13" s="108">
        <f>IF(D13=0,NA(),C13)</f>
        <v>0.61199999999999999</v>
      </c>
      <c r="M13" s="108">
        <f>IF(D13=0,NA(),D13)</f>
        <v>0.622</v>
      </c>
      <c r="N13" s="108">
        <f>IF(E13=0,NA(),E13)</f>
        <v>0.63200000000000001</v>
      </c>
      <c r="O13" s="187" t="s">
        <v>185</v>
      </c>
    </row>
    <row r="14" spans="1:15" ht="30" x14ac:dyDescent="0.25">
      <c r="A14" s="115" t="s">
        <v>404</v>
      </c>
      <c r="D14" s="93">
        <f>SUM('1. Institution-wide Data'!$C$26,'1. Institution-wide Data'!$C$27,'1. Institution-wide Data'!$C$30)</f>
        <v>272.822</v>
      </c>
      <c r="E14" s="93">
        <f>SUM('1. Institution-wide Data'!$C$26,'1. Institution-wide Data'!$C$27,'1. Institution-wide Data'!$C$30)</f>
        <v>272.822</v>
      </c>
      <c r="F14" s="93">
        <f>SUM('1. Institution-wide Data'!$C$26,'1. Institution-wide Data'!$C$27,'1. Institution-wide Data'!$C$30)</f>
        <v>272.822</v>
      </c>
      <c r="G14" s="93">
        <f>SUM('1. Institution-wide Data'!$C$26,'1. Institution-wide Data'!$C$27,'1. Institution-wide Data'!$C$30)</f>
        <v>272.822</v>
      </c>
      <c r="H14" s="77"/>
      <c r="J14" s="63" t="s">
        <v>123</v>
      </c>
      <c r="K14" s="1"/>
      <c r="L14" s="111" t="e">
        <f>IF(C18=0,NA(),C18)</f>
        <v>#N/A</v>
      </c>
      <c r="M14" s="111">
        <f>IF(D18=0,NA(),D18)</f>
        <v>81628.342400000067</v>
      </c>
      <c r="N14" s="111">
        <f>IF(E18=0,NA(),E18)</f>
        <v>165657.51840000018</v>
      </c>
      <c r="O14" s="188" t="s">
        <v>187</v>
      </c>
    </row>
    <row r="15" spans="1:15" ht="30" x14ac:dyDescent="0.25">
      <c r="A15" s="146" t="s">
        <v>169</v>
      </c>
      <c r="D15" s="96">
        <f>'2a. Initiative - Desc. &amp; Enrl.'!E$31*0.01</f>
        <v>40</v>
      </c>
      <c r="E15" s="96">
        <f>'2a. Initiative - Desc. &amp; Enrl.'!F$31*0.01</f>
        <v>40</v>
      </c>
      <c r="F15" s="96">
        <f>'2a. Initiative - Desc. &amp; Enrl.'!G$31*0.01</f>
        <v>45</v>
      </c>
      <c r="G15" s="96">
        <f>'2a. Initiative - Desc. &amp; Enrl.'!H$31*0.01</f>
        <v>0</v>
      </c>
      <c r="H15" t="s">
        <v>338</v>
      </c>
      <c r="M15" s="97"/>
    </row>
    <row r="16" spans="1:15" ht="30" x14ac:dyDescent="0.25">
      <c r="A16" s="117" t="s">
        <v>83</v>
      </c>
      <c r="B16" s="152">
        <f>B23</f>
        <v>13.3</v>
      </c>
      <c r="C16" s="152">
        <f>IF(C23=0,$B16,C23)</f>
        <v>13.5</v>
      </c>
      <c r="D16" s="152">
        <f>IF(D23=0,$B16,D23)</f>
        <v>13.6</v>
      </c>
      <c r="E16" s="152">
        <f>IF(E23=0,$B16,E23)</f>
        <v>13.8</v>
      </c>
      <c r="F16" s="152">
        <f>IF(F23=0,$B16,F23)</f>
        <v>13.3</v>
      </c>
      <c r="G16" s="152">
        <f>IF(G23=0,$B16,G23)</f>
        <v>13.3</v>
      </c>
      <c r="H16" s="145" t="s">
        <v>260</v>
      </c>
      <c r="M16" s="97"/>
    </row>
    <row r="17" spans="1:15" ht="60" x14ac:dyDescent="0.25">
      <c r="A17" s="64" t="s">
        <v>84</v>
      </c>
      <c r="D17" s="91">
        <f>IF(D13&lt;&gt;0,((D15*((D13-$B13)*100))*D16)*D14,0)</f>
        <v>148415.16800000012</v>
      </c>
      <c r="E17" s="91">
        <f>IF(E13&lt;&gt;0,((E15*((E13-$B13)*100))*E16)*E14,0)</f>
        <v>301195.4880000003</v>
      </c>
      <c r="F17" s="91">
        <f>IF(F13&lt;&gt;0,((F15*((F13-$B13)*100))*F16)*F14,0)</f>
        <v>0</v>
      </c>
      <c r="G17" s="91">
        <f>IF(G13&lt;&gt;0,((G15*((G13-$B13)*100))*G16)*G14,0)</f>
        <v>0</v>
      </c>
      <c r="H17" s="196" t="s">
        <v>325</v>
      </c>
    </row>
    <row r="18" spans="1:15" x14ac:dyDescent="0.25">
      <c r="A18" s="63" t="s">
        <v>85</v>
      </c>
      <c r="C18" s="1"/>
      <c r="D18" s="111">
        <f>D17-(D17*'1. Institution-wide Data'!$C$44)</f>
        <v>81628.342400000067</v>
      </c>
      <c r="E18" s="111">
        <f>E17-(E17*'1. Institution-wide Data'!$C$44)</f>
        <v>165657.51840000018</v>
      </c>
      <c r="F18" s="111">
        <f>F17-(F17*'1. Institution-wide Data'!$C$44)</f>
        <v>0</v>
      </c>
      <c r="G18" s="111">
        <f>G17-(G17*'1. Institution-wide Data'!$C$44)</f>
        <v>0</v>
      </c>
    </row>
    <row r="19" spans="1:15" x14ac:dyDescent="0.25">
      <c r="A19" s="63"/>
      <c r="B19" s="1"/>
      <c r="C19" s="111"/>
      <c r="D19" s="111"/>
      <c r="E19" s="111"/>
      <c r="F19" s="111"/>
      <c r="G19" s="111"/>
    </row>
    <row r="20" spans="1:15" x14ac:dyDescent="0.25">
      <c r="A20" s="63"/>
      <c r="B20" s="1"/>
      <c r="C20" s="111"/>
      <c r="D20" s="111"/>
      <c r="E20" s="111"/>
      <c r="F20" s="111"/>
      <c r="G20" s="111"/>
    </row>
    <row r="21" spans="1:15" ht="15.75" x14ac:dyDescent="0.25">
      <c r="A21" s="119" t="s">
        <v>101</v>
      </c>
      <c r="B21" s="1"/>
      <c r="C21" s="219"/>
      <c r="D21" s="111"/>
      <c r="E21" s="111"/>
      <c r="F21" s="111"/>
      <c r="G21" s="111"/>
      <c r="M21" s="97"/>
    </row>
    <row r="22" spans="1:15" ht="27" customHeight="1" x14ac:dyDescent="0.25">
      <c r="A22" s="62"/>
      <c r="B22" s="20" t="s">
        <v>2</v>
      </c>
      <c r="C22" s="20" t="s">
        <v>3</v>
      </c>
      <c r="D22" s="20" t="s">
        <v>4</v>
      </c>
      <c r="E22" s="20" t="s">
        <v>5</v>
      </c>
      <c r="F22" s="20" t="s">
        <v>6</v>
      </c>
      <c r="G22" s="20" t="s">
        <v>7</v>
      </c>
      <c r="H22" s="21" t="s">
        <v>8</v>
      </c>
      <c r="J22" s="147" t="s">
        <v>170</v>
      </c>
      <c r="K22" s="34" t="s">
        <v>209</v>
      </c>
      <c r="L22" s="20" t="s">
        <v>3</v>
      </c>
      <c r="M22" s="20" t="s">
        <v>4</v>
      </c>
      <c r="N22" s="20" t="s">
        <v>5</v>
      </c>
    </row>
    <row r="23" spans="1:15" ht="30" x14ac:dyDescent="0.25">
      <c r="A23" s="61" t="s">
        <v>89</v>
      </c>
      <c r="B23" s="152">
        <f>'Success Metric &amp; ROI Estimates'!B24</f>
        <v>13.3</v>
      </c>
      <c r="C23" s="152">
        <f>'Success Metric &amp; ROI Estimates'!C24</f>
        <v>13.5</v>
      </c>
      <c r="D23" s="152">
        <f>'Success Metric &amp; ROI Estimates'!D24</f>
        <v>13.6</v>
      </c>
      <c r="E23" s="152">
        <f>'Success Metric &amp; ROI Estimates'!E24</f>
        <v>13.8</v>
      </c>
      <c r="F23" s="152">
        <f>'Success Metric &amp; ROI Estimates'!F24</f>
        <v>0</v>
      </c>
      <c r="G23" s="152">
        <f>'Success Metric &amp; ROI Estimates'!G24</f>
        <v>0</v>
      </c>
      <c r="H23" s="145" t="s">
        <v>326</v>
      </c>
      <c r="J23" s="63" t="s">
        <v>89</v>
      </c>
      <c r="K23" s="132">
        <f>B23</f>
        <v>13.3</v>
      </c>
      <c r="L23" s="132">
        <f>IF(C23=0,NA(),C23)</f>
        <v>13.5</v>
      </c>
      <c r="M23" s="132">
        <f>IF(D23=0,NA(),D23)</f>
        <v>13.6</v>
      </c>
      <c r="N23" s="132">
        <f>IF(E23=0,NA(),E23)</f>
        <v>13.8</v>
      </c>
      <c r="O23" s="189" t="s">
        <v>186</v>
      </c>
    </row>
    <row r="24" spans="1:15" ht="45" x14ac:dyDescent="0.25">
      <c r="A24" s="61" t="s">
        <v>216</v>
      </c>
      <c r="C24" s="101">
        <f>C23-$B23</f>
        <v>0.19999999999999929</v>
      </c>
      <c r="D24" s="101">
        <f>D23-$B23</f>
        <v>0.29999999999999893</v>
      </c>
      <c r="E24" s="101">
        <f>E23-$B23</f>
        <v>0.5</v>
      </c>
      <c r="F24" s="101">
        <f>F23-$B23</f>
        <v>-13.3</v>
      </c>
      <c r="G24" s="101">
        <f>G23-$B23</f>
        <v>-13.3</v>
      </c>
      <c r="H24" s="196" t="s">
        <v>327</v>
      </c>
      <c r="J24" s="63" t="s">
        <v>124</v>
      </c>
      <c r="K24" s="1"/>
      <c r="L24" s="111">
        <f>IF(C28=0,NA(),C28)</f>
        <v>120041.67999999957</v>
      </c>
      <c r="M24" s="111">
        <f>IF(D28=0,NA(),D28)</f>
        <v>180062.51999999935</v>
      </c>
      <c r="N24" s="111">
        <f>IF(E28=0,NA(),E28)</f>
        <v>337617.22499999998</v>
      </c>
      <c r="O24" s="188" t="s">
        <v>187</v>
      </c>
    </row>
    <row r="25" spans="1:15" ht="30" x14ac:dyDescent="0.25">
      <c r="A25" s="115" t="s">
        <v>404</v>
      </c>
      <c r="C25" s="93">
        <f>SUM('1. Institution-wide Data'!$C$26,'1. Institution-wide Data'!$C$27,'1. Institution-wide Data'!$C$30)</f>
        <v>272.822</v>
      </c>
      <c r="D25" s="93">
        <f>SUM('1. Institution-wide Data'!$C$26,'1. Institution-wide Data'!$C$27,'1. Institution-wide Data'!$C$30)</f>
        <v>272.822</v>
      </c>
      <c r="E25" s="93">
        <f>SUM('1. Institution-wide Data'!$C$26,'1. Institution-wide Data'!$C$27,'1. Institution-wide Data'!$C$30)</f>
        <v>272.822</v>
      </c>
      <c r="F25" s="93">
        <f>SUM('1. Institution-wide Data'!$C$26,'1. Institution-wide Data'!$C$27,'1. Institution-wide Data'!$C$30)</f>
        <v>272.822</v>
      </c>
      <c r="G25" s="93">
        <f>SUM('1. Institution-wide Data'!$C$26,'1. Institution-wide Data'!$C$27,'1. Institution-wide Data'!$C$30)</f>
        <v>272.822</v>
      </c>
      <c r="H25" s="77"/>
    </row>
    <row r="26" spans="1:15" x14ac:dyDescent="0.25">
      <c r="A26" s="159" t="s">
        <v>100</v>
      </c>
      <c r="C26" s="90">
        <f>'2a. Initiative - Desc. &amp; Enrl.'!E31</f>
        <v>4000</v>
      </c>
      <c r="D26" s="90">
        <f>'2a. Initiative - Desc. &amp; Enrl.'!F31</f>
        <v>4000</v>
      </c>
      <c r="E26" s="90">
        <f>'2a. Initiative - Desc. &amp; Enrl.'!G31</f>
        <v>4500</v>
      </c>
      <c r="F26" s="90">
        <f>'2a. Initiative - Desc. &amp; Enrl.'!H31</f>
        <v>0</v>
      </c>
      <c r="G26" s="90">
        <f>'2a. Initiative - Desc. &amp; Enrl.'!I31</f>
        <v>0</v>
      </c>
      <c r="H26" t="s">
        <v>338</v>
      </c>
    </row>
    <row r="27" spans="1:15" x14ac:dyDescent="0.25">
      <c r="A27" s="61" t="s">
        <v>84</v>
      </c>
      <c r="C27" s="91">
        <f>IF(C23&lt;&gt;0,(C26*C24)*C25,0)</f>
        <v>218257.59999999922</v>
      </c>
      <c r="D27" s="91">
        <f>IF(D23&lt;&gt;0,(D26*D24)*D25,0)</f>
        <v>327386.3999999988</v>
      </c>
      <c r="E27" s="91">
        <f>IF(E23&lt;&gt;0,(E26*E24)*E25,0)</f>
        <v>613849.5</v>
      </c>
      <c r="F27" s="91">
        <f>IF(F23&lt;&gt;0,(F26*F24)*F25,0)</f>
        <v>0</v>
      </c>
      <c r="G27" s="91">
        <f>IF(G23&lt;&gt;0,(G26*G24)*G25,0)</f>
        <v>0</v>
      </c>
    </row>
    <row r="28" spans="1:15" x14ac:dyDescent="0.25">
      <c r="A28" s="62" t="s">
        <v>85</v>
      </c>
      <c r="C28" s="111">
        <f>C27-(C27*'1. Institution-wide Data'!$C$44)</f>
        <v>120041.67999999957</v>
      </c>
      <c r="D28" s="111">
        <f>D27-(D27*'1. Institution-wide Data'!$C$44)</f>
        <v>180062.51999999935</v>
      </c>
      <c r="E28" s="111">
        <f>E27-(E27*'1. Institution-wide Data'!$C$44)</f>
        <v>337617.22499999998</v>
      </c>
      <c r="F28" s="111">
        <f>F27-(F27*'1. Institution-wide Data'!$C$44)</f>
        <v>0</v>
      </c>
      <c r="G28" s="111">
        <f>G27-(G27*'1. Institution-wide Data'!$C$44)</f>
        <v>0</v>
      </c>
    </row>
    <row r="29" spans="1:15" x14ac:dyDescent="0.25">
      <c r="A29" s="62"/>
      <c r="C29" s="111"/>
      <c r="D29" s="111"/>
      <c r="E29" s="111"/>
      <c r="F29" s="111"/>
      <c r="G29" s="111"/>
    </row>
    <row r="30" spans="1:15" ht="15.75" x14ac:dyDescent="0.25">
      <c r="A30" s="78"/>
      <c r="C30" s="118"/>
    </row>
    <row r="31" spans="1:15" ht="15.75" x14ac:dyDescent="0.25">
      <c r="A31" s="75" t="s">
        <v>104</v>
      </c>
      <c r="B31" s="124"/>
      <c r="C31" s="124"/>
      <c r="D31" s="124"/>
      <c r="E31" s="124"/>
      <c r="F31" s="124"/>
      <c r="G31" s="124"/>
      <c r="H31" s="124"/>
    </row>
    <row r="32" spans="1:15" ht="15.75" x14ac:dyDescent="0.25">
      <c r="A32" s="78"/>
    </row>
    <row r="33" spans="1:14" ht="15.75" x14ac:dyDescent="0.25">
      <c r="A33" s="78" t="s">
        <v>103</v>
      </c>
    </row>
    <row r="34" spans="1:14" ht="27" customHeight="1" x14ac:dyDescent="0.25">
      <c r="A34" s="147" t="s">
        <v>203</v>
      </c>
      <c r="B34" s="153">
        <f>C47</f>
        <v>4.4999999999999997E-3</v>
      </c>
      <c r="C34" s="97"/>
    </row>
    <row r="35" spans="1:14" ht="27" customHeight="1" x14ac:dyDescent="0.25">
      <c r="A35" s="114"/>
      <c r="B35" s="20" t="s">
        <v>2</v>
      </c>
      <c r="C35" s="20" t="s">
        <v>3</v>
      </c>
      <c r="D35" s="20" t="s">
        <v>4</v>
      </c>
      <c r="E35" s="20" t="s">
        <v>5</v>
      </c>
      <c r="F35" s="20" t="s">
        <v>6</v>
      </c>
      <c r="G35" s="20" t="s">
        <v>7</v>
      </c>
      <c r="H35" s="21" t="s">
        <v>8</v>
      </c>
      <c r="J35" s="147" t="s">
        <v>170</v>
      </c>
      <c r="K35" s="34" t="s">
        <v>209</v>
      </c>
      <c r="L35" s="20" t="s">
        <v>3</v>
      </c>
      <c r="M35" s="20" t="s">
        <v>4</v>
      </c>
      <c r="N35" s="20" t="s">
        <v>5</v>
      </c>
    </row>
    <row r="36" spans="1:14" ht="30" x14ac:dyDescent="0.25">
      <c r="A36" s="106" t="s">
        <v>92</v>
      </c>
      <c r="B36" s="151">
        <f>'1. Institution-wide Data'!C17</f>
        <v>0.65</v>
      </c>
      <c r="C36" s="108">
        <f>B36+$C$47</f>
        <v>0.65449999999999997</v>
      </c>
      <c r="D36" s="108">
        <f>C36+$C$47</f>
        <v>0.65899999999999992</v>
      </c>
      <c r="E36" s="108">
        <f>D36+$C$47</f>
        <v>0.66349999999999987</v>
      </c>
      <c r="F36" s="108">
        <f>E36+$C$47</f>
        <v>0.66799999999999982</v>
      </c>
      <c r="G36" s="108">
        <f>F36+$C$47</f>
        <v>0.67249999999999976</v>
      </c>
      <c r="H36" s="145" t="s">
        <v>328</v>
      </c>
      <c r="J36" s="63" t="s">
        <v>177</v>
      </c>
      <c r="K36" s="108">
        <f>B36</f>
        <v>0.65</v>
      </c>
      <c r="L36" s="108">
        <f>IF(C36=$B$36,NA(),C36)</f>
        <v>0.65449999999999997</v>
      </c>
      <c r="M36" s="108">
        <f>IF(D36=$B$36,NA(),D36)</f>
        <v>0.65899999999999992</v>
      </c>
      <c r="N36" s="108">
        <f>IF(E36=$B$36,NA(),E36)</f>
        <v>0.66349999999999987</v>
      </c>
    </row>
    <row r="37" spans="1:14" s="60" customFormat="1" x14ac:dyDescent="0.25">
      <c r="A37" s="161" t="s">
        <v>204</v>
      </c>
      <c r="B37" s="197">
        <f>'1. Institution-wide Data'!$C$16</f>
        <v>13.3</v>
      </c>
      <c r="C37" s="95">
        <f>IF(C23=0,$B37,C23)</f>
        <v>13.5</v>
      </c>
      <c r="D37" s="95">
        <f>IF(D23=0,$B37,D23)</f>
        <v>13.6</v>
      </c>
      <c r="E37" s="95">
        <f>IF(E23=0,$B37,E23)</f>
        <v>13.8</v>
      </c>
      <c r="F37" s="95">
        <f>IF(F23=0,$B37,F23)</f>
        <v>13.3</v>
      </c>
      <c r="G37" s="95">
        <f>IF(G23=0,$B37,G23)</f>
        <v>13.3</v>
      </c>
      <c r="H37" t="s">
        <v>335</v>
      </c>
      <c r="J37" s="63" t="s">
        <v>198</v>
      </c>
      <c r="K37" s="1"/>
      <c r="L37" s="111">
        <f>IF(C43=0,NA(),C43)</f>
        <v>111662.8041497963</v>
      </c>
      <c r="M37" s="111">
        <f>IF(D43=0,NA(),D43)</f>
        <v>224979.87206477477</v>
      </c>
      <c r="N37" s="111">
        <f>IF(E43=0,NA(),E43)</f>
        <v>385236.67431679723</v>
      </c>
    </row>
    <row r="38" spans="1:14" x14ac:dyDescent="0.25">
      <c r="A38" s="196" t="s">
        <v>99</v>
      </c>
      <c r="B38" s="109"/>
      <c r="C38" s="109">
        <f>C37*'2a. Initiative - Desc. &amp; Enrl.'!E31</f>
        <v>54000</v>
      </c>
      <c r="D38" s="109">
        <f>D37*'2a. Initiative - Desc. &amp; Enrl.'!F31</f>
        <v>54400</v>
      </c>
      <c r="E38" s="109">
        <f>E37*'2a. Initiative - Desc. &amp; Enrl.'!G31</f>
        <v>62100</v>
      </c>
      <c r="F38" s="109">
        <f>F37*'2a. Initiative - Desc. &amp; Enrl.'!H31</f>
        <v>0</v>
      </c>
      <c r="G38" s="109">
        <f>G37*'2a. Initiative - Desc. &amp; Enrl.'!I31</f>
        <v>0</v>
      </c>
      <c r="J38" s="1" t="s">
        <v>197</v>
      </c>
      <c r="L38" s="163">
        <f>IF(C42=0,NA(),-1*C42)</f>
        <v>-242.99999999999721</v>
      </c>
      <c r="M38" s="163">
        <f>IF(D42=0,NA(),-1*D42)</f>
        <v>-489.5999999999944</v>
      </c>
      <c r="N38" s="163">
        <f>IF(E42=0,NA(),-1*E42)</f>
        <v>-838.34999999999036</v>
      </c>
    </row>
    <row r="39" spans="1:14" ht="30" x14ac:dyDescent="0.25">
      <c r="A39" s="115" t="s">
        <v>97</v>
      </c>
      <c r="B39" s="109"/>
      <c r="C39" s="221">
        <f>C38*(1-$B36)</f>
        <v>18900</v>
      </c>
      <c r="D39" s="221">
        <f>D38*(1-$B36)</f>
        <v>19040</v>
      </c>
      <c r="E39" s="221">
        <f>E38*(1-$B36)</f>
        <v>21735</v>
      </c>
      <c r="F39" s="221">
        <f>F38*(1-$B36)</f>
        <v>0</v>
      </c>
      <c r="G39" s="221">
        <f>G38*(1-$B36)</f>
        <v>0</v>
      </c>
      <c r="H39" t="s">
        <v>336</v>
      </c>
    </row>
    <row r="40" spans="1:14" ht="28.5" customHeight="1" x14ac:dyDescent="0.25">
      <c r="A40" s="115" t="s">
        <v>94</v>
      </c>
      <c r="B40" s="91"/>
      <c r="C40" s="220">
        <f>'1. Institution-wide Data'!$C$46/'1. Institution-wide Data'!$C$14</f>
        <v>459.51771255060731</v>
      </c>
      <c r="D40" s="220">
        <f>'1. Institution-wide Data'!$C$46/'1. Institution-wide Data'!$C$14</f>
        <v>459.51771255060731</v>
      </c>
      <c r="E40" s="220">
        <f>'1. Institution-wide Data'!$C$46/'1. Institution-wide Data'!$C$14</f>
        <v>459.51771255060731</v>
      </c>
      <c r="F40" s="220">
        <f>'1. Institution-wide Data'!$C$46/'1. Institution-wide Data'!$C$14</f>
        <v>459.51771255060731</v>
      </c>
      <c r="G40" s="220">
        <f>'1. Institution-wide Data'!$C$46/'1. Institution-wide Data'!$C$14</f>
        <v>459.51771255060731</v>
      </c>
      <c r="H40" s="196" t="s">
        <v>329</v>
      </c>
    </row>
    <row r="41" spans="1:14" x14ac:dyDescent="0.25">
      <c r="A41" s="110" t="s">
        <v>179</v>
      </c>
      <c r="B41" s="111"/>
      <c r="C41" s="111">
        <f>C39*C40</f>
        <v>8684884.7672064789</v>
      </c>
      <c r="D41" s="111">
        <f>D39*D40</f>
        <v>8749217.2469635624</v>
      </c>
      <c r="E41" s="111">
        <f>E39*E40</f>
        <v>9987617.4822874498</v>
      </c>
      <c r="F41" s="111">
        <f>F39*F40</f>
        <v>0</v>
      </c>
      <c r="G41" s="111">
        <f>G39*G40</f>
        <v>0</v>
      </c>
    </row>
    <row r="42" spans="1:14" ht="30" x14ac:dyDescent="0.25">
      <c r="A42" s="114" t="s">
        <v>178</v>
      </c>
      <c r="B42" s="112"/>
      <c r="C42" s="113">
        <f>C38*(C36-$B$36)</f>
        <v>242.99999999999721</v>
      </c>
      <c r="D42" s="113">
        <f>D38*(D36-$B$36)</f>
        <v>489.5999999999944</v>
      </c>
      <c r="E42" s="113">
        <f>E38*(E36-$B$36)</f>
        <v>838.34999999999036</v>
      </c>
      <c r="F42" s="113">
        <f>F38*(F36-$B$36)</f>
        <v>0</v>
      </c>
      <c r="G42" s="113">
        <f>G38*(G36-$B$36)</f>
        <v>0</v>
      </c>
      <c r="H42" t="s">
        <v>337</v>
      </c>
    </row>
    <row r="43" spans="1:14" ht="30" x14ac:dyDescent="0.25">
      <c r="A43" s="110" t="s">
        <v>95</v>
      </c>
      <c r="B43" s="1"/>
      <c r="C43" s="111">
        <f>(C42*C40)</f>
        <v>111662.8041497963</v>
      </c>
      <c r="D43" s="111">
        <f>(D42*D40)</f>
        <v>224979.87206477477</v>
      </c>
      <c r="E43" s="111">
        <f>(E42*E40)</f>
        <v>385236.67431679723</v>
      </c>
      <c r="F43" s="111">
        <f>(F42*F40)</f>
        <v>0</v>
      </c>
      <c r="G43" s="111">
        <f>(G42*G40)</f>
        <v>0</v>
      </c>
      <c r="H43" t="s">
        <v>194</v>
      </c>
    </row>
    <row r="44" spans="1:14" x14ac:dyDescent="0.25">
      <c r="A44" s="107" t="s">
        <v>96</v>
      </c>
      <c r="C44" s="97">
        <f>-1*C43/C41</f>
        <v>-1.2857142857142709E-2</v>
      </c>
      <c r="D44" s="97">
        <f>-1*D43/D41</f>
        <v>-2.5714285714285422E-2</v>
      </c>
      <c r="E44" s="97">
        <f>-1*E43/E41</f>
        <v>-3.8571428571428132E-2</v>
      </c>
      <c r="F44" s="97" t="e">
        <f>-1*F43/F41</f>
        <v>#DIV/0!</v>
      </c>
      <c r="G44" s="97" t="e">
        <f>-1*G43/G41</f>
        <v>#DIV/0!</v>
      </c>
    </row>
    <row r="45" spans="1:14" x14ac:dyDescent="0.25">
      <c r="A45" s="107"/>
      <c r="C45" s="162"/>
      <c r="D45" s="162"/>
      <c r="E45" s="162"/>
      <c r="F45" s="162"/>
      <c r="G45" s="162"/>
    </row>
    <row r="46" spans="1:14" ht="39" x14ac:dyDescent="0.25">
      <c r="A46" s="107"/>
      <c r="B46" s="148" t="s">
        <v>166</v>
      </c>
      <c r="C46" s="149" t="s">
        <v>167</v>
      </c>
      <c r="D46" s="97"/>
      <c r="E46" s="97"/>
      <c r="F46" s="97"/>
      <c r="G46" s="97"/>
    </row>
    <row r="47" spans="1:14" ht="15.75" x14ac:dyDescent="0.25">
      <c r="A47" s="78"/>
      <c r="B47" s="150">
        <v>45</v>
      </c>
      <c r="C47" s="150">
        <f>B47/10000</f>
        <v>4.4999999999999997E-3</v>
      </c>
    </row>
    <row r="48" spans="1:14" ht="15.75" x14ac:dyDescent="0.25">
      <c r="A48" s="78"/>
    </row>
    <row r="49" spans="1:18" ht="15.75" x14ac:dyDescent="0.25">
      <c r="A49" s="78" t="s">
        <v>107</v>
      </c>
    </row>
    <row r="50" spans="1:18" x14ac:dyDescent="0.25">
      <c r="C50" s="99"/>
      <c r="D50" s="99"/>
      <c r="E50" s="99"/>
      <c r="F50" s="99"/>
      <c r="G50" s="99"/>
      <c r="M50" s="97"/>
    </row>
    <row r="51" spans="1:18" ht="27" customHeight="1" x14ac:dyDescent="0.25">
      <c r="A51" s="105" t="s">
        <v>106</v>
      </c>
      <c r="C51" s="100"/>
      <c r="L51" s="97"/>
    </row>
    <row r="52" spans="1:18" ht="27" customHeight="1" x14ac:dyDescent="0.25">
      <c r="A52" s="147" t="s">
        <v>205</v>
      </c>
      <c r="B52" s="224">
        <f>C64</f>
        <v>2.7E-2</v>
      </c>
      <c r="L52" s="97"/>
      <c r="R52">
        <v>10</v>
      </c>
    </row>
    <row r="53" spans="1:18" ht="27" customHeight="1" x14ac:dyDescent="0.25">
      <c r="A53" s="114"/>
      <c r="B53" s="20" t="s">
        <v>2</v>
      </c>
      <c r="C53" s="20" t="s">
        <v>3</v>
      </c>
      <c r="D53" s="20" t="s">
        <v>4</v>
      </c>
      <c r="E53" s="20" t="s">
        <v>5</v>
      </c>
      <c r="F53" s="20" t="s">
        <v>6</v>
      </c>
      <c r="G53" s="20" t="s">
        <v>7</v>
      </c>
      <c r="H53" s="21" t="s">
        <v>8</v>
      </c>
      <c r="J53" s="147" t="s">
        <v>170</v>
      </c>
      <c r="K53" s="34" t="s">
        <v>209</v>
      </c>
      <c r="L53" s="20" t="s">
        <v>3</v>
      </c>
      <c r="M53" s="20" t="s">
        <v>4</v>
      </c>
      <c r="N53" s="20" t="s">
        <v>5</v>
      </c>
    </row>
    <row r="54" spans="1:18" x14ac:dyDescent="0.25">
      <c r="A54" t="s">
        <v>191</v>
      </c>
      <c r="B54" s="96">
        <f>'1. Institution-wide Data'!C52</f>
        <v>294</v>
      </c>
      <c r="C54" s="96">
        <f>IF(C58&lt;&gt;0,C57/C58,0)</f>
        <v>287.42968198715653</v>
      </c>
      <c r="D54" s="96">
        <f>IF(D58&lt;&gt;0,D57/D58,0)</f>
        <v>280.43736836781261</v>
      </c>
      <c r="E54" s="96">
        <f>IF(E58&lt;&gt;0,E57/E58,0)</f>
        <v>274.50686626236171</v>
      </c>
      <c r="F54" s="96">
        <f>IF(F58&lt;&gt;0,F57/F58,0)</f>
        <v>264.28076545940456</v>
      </c>
      <c r="G54" s="96">
        <f>IF(G58&lt;&gt;0,G57/G58,0)</f>
        <v>257.33278038890421</v>
      </c>
      <c r="H54" t="s">
        <v>334</v>
      </c>
      <c r="J54" s="63" t="s">
        <v>195</v>
      </c>
      <c r="K54" s="194">
        <f>B58</f>
        <v>672.10884353741494</v>
      </c>
      <c r="L54" s="194">
        <f>IF(C58=$B$58,NA(),C58)</f>
        <v>690.25578231292513</v>
      </c>
      <c r="M54" s="194">
        <f>IF(D58=$B$58,NA(),D58)</f>
        <v>708.892688435374</v>
      </c>
      <c r="N54" s="194">
        <f>IF(E58=$B$58,NA(),E58)</f>
        <v>728.03279102312899</v>
      </c>
    </row>
    <row r="55" spans="1:18" ht="60" x14ac:dyDescent="0.25">
      <c r="A55" s="193" t="s">
        <v>192</v>
      </c>
      <c r="B55" s="222">
        <f>'1. Institution-wide Data'!C14</f>
        <v>197600</v>
      </c>
      <c r="C55" s="222">
        <f>$B55</f>
        <v>197600</v>
      </c>
      <c r="D55" s="222">
        <f>$B55</f>
        <v>197600</v>
      </c>
      <c r="E55" s="222">
        <f>$B55</f>
        <v>197600</v>
      </c>
      <c r="F55" s="222">
        <f>$B55</f>
        <v>197600</v>
      </c>
      <c r="G55" s="222">
        <f>$B55</f>
        <v>197600</v>
      </c>
      <c r="H55" s="196" t="s">
        <v>333</v>
      </c>
      <c r="J55" s="63" t="s">
        <v>262</v>
      </c>
      <c r="K55" s="1"/>
      <c r="L55" s="111">
        <f>C60</f>
        <v>173145.75</v>
      </c>
      <c r="M55" s="111">
        <f>D60</f>
        <v>364560.48</v>
      </c>
      <c r="N55" s="111">
        <f>E60</f>
        <v>534450.46</v>
      </c>
    </row>
    <row r="56" spans="1:18" ht="30" x14ac:dyDescent="0.25">
      <c r="A56" s="260" t="s">
        <v>339</v>
      </c>
      <c r="B56" s="199"/>
      <c r="C56" s="222">
        <f>IF(C23&lt;&gt;0,(C24*C26),0)</f>
        <v>799.99999999999716</v>
      </c>
      <c r="D56" s="222">
        <f>IF(D23&lt;&gt;0,(D24*D26),0)</f>
        <v>1199.9999999999957</v>
      </c>
      <c r="E56" s="222">
        <f>IF(E23&lt;&gt;0,(E24*E26),0)</f>
        <v>2250</v>
      </c>
      <c r="F56" s="222">
        <f>IF(F23&lt;&gt;0,(F24*F26),0)</f>
        <v>0</v>
      </c>
      <c r="G56" s="222">
        <f>IF(G23&lt;&gt;0,(G24*G26),0)</f>
        <v>0</v>
      </c>
      <c r="H56" s="196" t="s">
        <v>332</v>
      </c>
      <c r="J56" s="1" t="s">
        <v>200</v>
      </c>
      <c r="L56" s="231">
        <f>IF(C61=0, NA(),C61)</f>
        <v>-6.5703180128434724</v>
      </c>
      <c r="M56" s="231">
        <f>IF(D61=0, NA(),D61)</f>
        <v>-13.56263163218739</v>
      </c>
      <c r="N56" s="231">
        <f>IF(E61=0, NA(),E61)</f>
        <v>-19.493133737638288</v>
      </c>
    </row>
    <row r="57" spans="1:18" x14ac:dyDescent="0.25">
      <c r="A57" s="223" t="s">
        <v>250</v>
      </c>
      <c r="B57" s="222">
        <f t="shared" ref="B57:G57" si="0">SUM(B55:B56)</f>
        <v>197600</v>
      </c>
      <c r="C57" s="222">
        <f t="shared" si="0"/>
        <v>198400</v>
      </c>
      <c r="D57" s="222">
        <f t="shared" si="0"/>
        <v>198800</v>
      </c>
      <c r="E57" s="222">
        <f t="shared" si="0"/>
        <v>199850</v>
      </c>
      <c r="F57" s="222">
        <f t="shared" si="0"/>
        <v>197600</v>
      </c>
      <c r="G57" s="222">
        <f t="shared" si="0"/>
        <v>197600</v>
      </c>
      <c r="H57" s="120"/>
    </row>
    <row r="58" spans="1:18" x14ac:dyDescent="0.25">
      <c r="A58" t="s">
        <v>91</v>
      </c>
      <c r="B58" s="198">
        <f>IF(B54&lt;&gt;0,B55/B54,0)</f>
        <v>672.10884353741494</v>
      </c>
      <c r="C58" s="104">
        <f>B58*(1+$B$52)</f>
        <v>690.25578231292513</v>
      </c>
      <c r="D58" s="104">
        <f>C58*(1+$B$52)</f>
        <v>708.892688435374</v>
      </c>
      <c r="E58" s="104">
        <f>D58*(1+$B$52)</f>
        <v>728.03279102312899</v>
      </c>
      <c r="F58" s="104">
        <f>E58*(1+$B$52)</f>
        <v>747.68967638075344</v>
      </c>
      <c r="G58" s="104">
        <f>F58*(1+$B$52)</f>
        <v>767.87729764303367</v>
      </c>
    </row>
    <row r="59" spans="1:18" ht="30" x14ac:dyDescent="0.25">
      <c r="A59" t="s">
        <v>193</v>
      </c>
      <c r="B59" s="91"/>
      <c r="C59" s="91">
        <f>('1. Institution-wide Data'!$C$56*(1.02))*(1+'1. Institution-wide Data'!$C$41)</f>
        <v>26352.720000000001</v>
      </c>
      <c r="D59" s="91">
        <f>('1. Institution-wide Data'!$C$56*(1.02^2))*(1+'1. Institution-wide Data'!$C$41)</f>
        <v>26879.774399999998</v>
      </c>
      <c r="E59" s="91">
        <f>('1. Institution-wide Data'!$C$56*(1.02^3))*(1+'1. Institution-wide Data'!$C$41)</f>
        <v>27417.369887999997</v>
      </c>
      <c r="F59" s="91">
        <f>('1. Institution-wide Data'!$C$56*(1.02^4))*(1+'1. Institution-wide Data'!$C$41)</f>
        <v>27965.717285760002</v>
      </c>
      <c r="G59" s="91">
        <f>('1. Institution-wide Data'!$C$56*(1.02^5))*(1+'1. Institution-wide Data'!$C$41)</f>
        <v>28525.031631475202</v>
      </c>
      <c r="H59" s="145" t="s">
        <v>331</v>
      </c>
    </row>
    <row r="60" spans="1:18" x14ac:dyDescent="0.25">
      <c r="A60" t="s">
        <v>196</v>
      </c>
      <c r="C60" s="91">
        <f>ROUND((($B54-C54)*C59),2)</f>
        <v>173145.75</v>
      </c>
      <c r="D60" s="91">
        <f>ROUND((($B54-D54)*D59),2)</f>
        <v>364560.48</v>
      </c>
      <c r="E60" s="91">
        <f>ROUND((($B54-E54)*E59),2)</f>
        <v>534450.46</v>
      </c>
      <c r="F60" s="91">
        <f>ROUND((($B54-F54)*F59),2)</f>
        <v>831119.71</v>
      </c>
      <c r="G60" s="91">
        <f>ROUND((($B54-G54)*G59),2)</f>
        <v>1045933.6</v>
      </c>
      <c r="H60" s="145"/>
    </row>
    <row r="61" spans="1:18" ht="45" x14ac:dyDescent="0.25">
      <c r="A61" t="s">
        <v>259</v>
      </c>
      <c r="C61" s="96">
        <f>C54-$B54</f>
        <v>-6.5703180128434724</v>
      </c>
      <c r="D61" s="96">
        <f>D54-$B54</f>
        <v>-13.56263163218739</v>
      </c>
      <c r="E61" s="96">
        <f>E54-$B54</f>
        <v>-19.493133737638288</v>
      </c>
      <c r="F61" s="96">
        <f>F54-$B54</f>
        <v>-29.719234540595437</v>
      </c>
      <c r="G61" s="96">
        <f>G54-$B54</f>
        <v>-36.667219611095788</v>
      </c>
      <c r="H61" s="145" t="s">
        <v>330</v>
      </c>
    </row>
    <row r="62" spans="1:18" ht="15" customHeight="1" x14ac:dyDescent="0.25">
      <c r="H62" s="196"/>
    </row>
    <row r="63" spans="1:18" ht="26.25" x14ac:dyDescent="0.25">
      <c r="B63" s="155" t="s">
        <v>166</v>
      </c>
      <c r="C63" s="156" t="s">
        <v>168</v>
      </c>
    </row>
    <row r="64" spans="1:18" x14ac:dyDescent="0.25">
      <c r="B64" s="157">
        <v>27</v>
      </c>
      <c r="C64" s="158">
        <f>B64/1000</f>
        <v>2.7E-2</v>
      </c>
    </row>
    <row r="69" spans="1:12" x14ac:dyDescent="0.25">
      <c r="L69" s="97"/>
    </row>
    <row r="70" spans="1:12" x14ac:dyDescent="0.25">
      <c r="L70" s="97"/>
    </row>
    <row r="71" spans="1:12" x14ac:dyDescent="0.25">
      <c r="L71" s="97"/>
    </row>
    <row r="72" spans="1:12" x14ac:dyDescent="0.25">
      <c r="L72" s="97"/>
    </row>
    <row r="73" spans="1:12" x14ac:dyDescent="0.25">
      <c r="L73" s="97"/>
    </row>
    <row r="74" spans="1:12" x14ac:dyDescent="0.25">
      <c r="L74" s="97"/>
    </row>
    <row r="75" spans="1:12" x14ac:dyDescent="0.25">
      <c r="L75" s="97"/>
    </row>
    <row r="76" spans="1:12" x14ac:dyDescent="0.25">
      <c r="L76" s="97"/>
    </row>
    <row r="77" spans="1:12" x14ac:dyDescent="0.25">
      <c r="L77" s="97"/>
    </row>
    <row r="78" spans="1:12" x14ac:dyDescent="0.25">
      <c r="A78" s="61"/>
      <c r="B78" s="93"/>
      <c r="L78" s="97"/>
    </row>
    <row r="84" spans="7:7" x14ac:dyDescent="0.25">
      <c r="G84" s="95"/>
    </row>
  </sheetData>
  <mergeCells count="2">
    <mergeCell ref="B4:D4"/>
    <mergeCell ref="B5:D5"/>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E12B6-1C6C-457F-BEE2-7A41DFEC7E1E}">
  <sheetPr>
    <tabColor theme="1" tint="0.499984740745262"/>
  </sheetPr>
  <dimension ref="A1:Q30"/>
  <sheetViews>
    <sheetView showGridLines="0" zoomScaleNormal="100" workbookViewId="0"/>
  </sheetViews>
  <sheetFormatPr defaultColWidth="9.140625" defaultRowHeight="15" x14ac:dyDescent="0.25"/>
  <cols>
    <col min="1" max="1" width="1.7109375" style="243" customWidth="1"/>
    <col min="2" max="17" width="9.140625" style="239"/>
    <col min="18" max="16384" width="9.140625" style="243"/>
  </cols>
  <sheetData>
    <row r="1" spans="1:17" ht="18.75" x14ac:dyDescent="0.3">
      <c r="A1" s="280" t="s">
        <v>343</v>
      </c>
    </row>
    <row r="2" spans="1:17" x14ac:dyDescent="0.25">
      <c r="A2" s="281" t="s">
        <v>405</v>
      </c>
    </row>
    <row r="4" spans="1:17" ht="15" customHeight="1" x14ac:dyDescent="0.25">
      <c r="B4" s="390" t="s">
        <v>383</v>
      </c>
      <c r="C4" s="390"/>
      <c r="D4" s="390"/>
      <c r="E4" s="390"/>
      <c r="F4" s="390"/>
      <c r="G4" s="390"/>
      <c r="H4" s="390"/>
      <c r="I4" s="390"/>
      <c r="J4" s="390"/>
      <c r="K4" s="390"/>
      <c r="L4" s="390"/>
      <c r="M4" s="390"/>
      <c r="N4" s="390"/>
      <c r="O4" s="390"/>
      <c r="P4" s="390"/>
      <c r="Q4" s="390"/>
    </row>
    <row r="5" spans="1:17" ht="15" customHeight="1" x14ac:dyDescent="0.25">
      <c r="B5" s="390"/>
      <c r="C5" s="390"/>
      <c r="D5" s="390"/>
      <c r="E5" s="390"/>
      <c r="F5" s="390"/>
      <c r="G5" s="390"/>
      <c r="H5" s="390"/>
      <c r="I5" s="390"/>
      <c r="J5" s="390"/>
      <c r="K5" s="390"/>
      <c r="L5" s="390"/>
      <c r="M5" s="390"/>
      <c r="N5" s="390"/>
      <c r="O5" s="390"/>
      <c r="P5" s="390"/>
      <c r="Q5" s="390"/>
    </row>
    <row r="6" spans="1:17" ht="15" customHeight="1" x14ac:dyDescent="0.25">
      <c r="B6" s="390"/>
      <c r="C6" s="390"/>
      <c r="D6" s="390"/>
      <c r="E6" s="390"/>
      <c r="F6" s="390"/>
      <c r="G6" s="390"/>
      <c r="H6" s="390"/>
      <c r="I6" s="390"/>
      <c r="J6" s="390"/>
      <c r="K6" s="390"/>
      <c r="L6" s="390"/>
      <c r="M6" s="390"/>
      <c r="N6" s="390"/>
      <c r="O6" s="390"/>
      <c r="P6" s="390"/>
      <c r="Q6" s="390"/>
    </row>
    <row r="7" spans="1:17" ht="15" customHeight="1" x14ac:dyDescent="0.25">
      <c r="B7" s="390"/>
      <c r="C7" s="390"/>
      <c r="D7" s="390"/>
      <c r="E7" s="390"/>
      <c r="F7" s="390"/>
      <c r="G7" s="390"/>
      <c r="H7" s="390"/>
      <c r="I7" s="390"/>
      <c r="J7" s="390"/>
      <c r="K7" s="390"/>
      <c r="L7" s="390"/>
      <c r="M7" s="390"/>
      <c r="N7" s="390"/>
      <c r="O7" s="390"/>
      <c r="P7" s="390"/>
      <c r="Q7" s="390"/>
    </row>
    <row r="8" spans="1:17" x14ac:dyDescent="0.25">
      <c r="B8" s="390"/>
      <c r="C8" s="390"/>
      <c r="D8" s="390"/>
      <c r="E8" s="390"/>
      <c r="F8" s="390"/>
      <c r="G8" s="390"/>
      <c r="H8" s="390"/>
      <c r="I8" s="390"/>
      <c r="J8" s="390"/>
      <c r="K8" s="390"/>
      <c r="L8" s="390"/>
      <c r="M8" s="390"/>
      <c r="N8" s="390"/>
      <c r="O8" s="390"/>
      <c r="P8" s="390"/>
      <c r="Q8" s="390"/>
    </row>
    <row r="10" spans="1:17" ht="18.75" x14ac:dyDescent="0.25">
      <c r="B10" s="391" t="s">
        <v>266</v>
      </c>
      <c r="C10" s="391"/>
      <c r="D10" s="391"/>
      <c r="E10" s="391"/>
      <c r="F10" s="391"/>
      <c r="G10" s="391"/>
      <c r="H10" s="391"/>
      <c r="I10" s="391"/>
      <c r="J10" s="391"/>
      <c r="K10" s="391"/>
      <c r="L10" s="391"/>
      <c r="M10" s="391"/>
      <c r="N10" s="391"/>
      <c r="O10" s="391"/>
      <c r="P10" s="391"/>
      <c r="Q10" s="391"/>
    </row>
    <row r="12" spans="1:17" ht="48" customHeight="1" x14ac:dyDescent="0.25">
      <c r="B12" s="392" t="s">
        <v>381</v>
      </c>
      <c r="C12" s="393"/>
      <c r="D12" s="393"/>
      <c r="E12" s="393"/>
      <c r="F12" s="393"/>
      <c r="G12" s="393"/>
      <c r="H12" s="393"/>
      <c r="I12" s="393"/>
      <c r="J12" s="393"/>
      <c r="K12" s="393"/>
      <c r="L12" s="393"/>
      <c r="M12" s="393"/>
      <c r="N12" s="393"/>
      <c r="O12" s="393"/>
      <c r="P12" s="393"/>
      <c r="Q12" s="394"/>
    </row>
    <row r="13" spans="1:17" x14ac:dyDescent="0.25">
      <c r="B13" s="240"/>
      <c r="C13" s="241"/>
      <c r="D13" s="241"/>
      <c r="E13" s="241"/>
      <c r="F13" s="241"/>
      <c r="G13" s="241"/>
      <c r="H13" s="241"/>
      <c r="I13" s="241"/>
      <c r="J13" s="241"/>
      <c r="K13" s="241"/>
      <c r="L13" s="241"/>
      <c r="M13" s="241"/>
      <c r="N13" s="241"/>
      <c r="O13" s="241"/>
      <c r="P13" s="241"/>
      <c r="Q13" s="242"/>
    </row>
    <row r="14" spans="1:17" ht="30" customHeight="1" x14ac:dyDescent="0.25">
      <c r="B14" s="387" t="s">
        <v>268</v>
      </c>
      <c r="C14" s="388"/>
      <c r="D14" s="388"/>
      <c r="E14" s="388"/>
      <c r="F14" s="388"/>
      <c r="G14" s="388"/>
      <c r="H14" s="388"/>
      <c r="I14" s="388"/>
      <c r="J14" s="388"/>
      <c r="K14" s="388"/>
      <c r="L14" s="388"/>
      <c r="M14" s="388"/>
      <c r="N14" s="388"/>
      <c r="O14" s="388"/>
      <c r="P14" s="388"/>
      <c r="Q14" s="389"/>
    </row>
    <row r="15" spans="1:17" x14ac:dyDescent="0.25">
      <c r="B15" s="244"/>
      <c r="C15" s="245"/>
      <c r="D15" s="245"/>
      <c r="E15" s="245"/>
      <c r="F15" s="245"/>
      <c r="G15" s="245"/>
      <c r="H15" s="245"/>
      <c r="I15" s="245"/>
      <c r="J15" s="245"/>
      <c r="K15" s="245"/>
      <c r="L15" s="245"/>
      <c r="M15" s="245"/>
      <c r="N15" s="245"/>
      <c r="O15" s="245"/>
      <c r="P15" s="245"/>
      <c r="Q15" s="246"/>
    </row>
    <row r="16" spans="1:17" ht="30" customHeight="1" x14ac:dyDescent="0.25">
      <c r="B16" s="387" t="s">
        <v>270</v>
      </c>
      <c r="C16" s="388"/>
      <c r="D16" s="388"/>
      <c r="E16" s="388"/>
      <c r="F16" s="388"/>
      <c r="G16" s="388"/>
      <c r="H16" s="388"/>
      <c r="I16" s="388"/>
      <c r="J16" s="388"/>
      <c r="K16" s="388"/>
      <c r="L16" s="388"/>
      <c r="M16" s="388"/>
      <c r="N16" s="388"/>
      <c r="O16" s="388"/>
      <c r="P16" s="388"/>
      <c r="Q16" s="389"/>
    </row>
    <row r="17" spans="2:17" x14ac:dyDescent="0.25">
      <c r="B17" s="244"/>
      <c r="C17" s="245"/>
      <c r="D17" s="245"/>
      <c r="E17" s="245"/>
      <c r="F17" s="245"/>
      <c r="G17" s="245"/>
      <c r="H17" s="245"/>
      <c r="I17" s="245"/>
      <c r="J17" s="245"/>
      <c r="K17" s="245"/>
      <c r="L17" s="245"/>
      <c r="M17" s="245"/>
      <c r="N17" s="245"/>
      <c r="O17" s="245"/>
      <c r="P17" s="245"/>
      <c r="Q17" s="246"/>
    </row>
    <row r="18" spans="2:17" ht="30" customHeight="1" x14ac:dyDescent="0.25">
      <c r="B18" s="387" t="s">
        <v>384</v>
      </c>
      <c r="C18" s="388"/>
      <c r="D18" s="388"/>
      <c r="E18" s="388"/>
      <c r="F18" s="388"/>
      <c r="G18" s="388"/>
      <c r="H18" s="388"/>
      <c r="I18" s="388"/>
      <c r="J18" s="388"/>
      <c r="K18" s="388"/>
      <c r="L18" s="388"/>
      <c r="M18" s="388"/>
      <c r="N18" s="388"/>
      <c r="O18" s="388"/>
      <c r="P18" s="388"/>
      <c r="Q18" s="389"/>
    </row>
    <row r="19" spans="2:17" x14ac:dyDescent="0.25">
      <c r="B19" s="244"/>
      <c r="C19" s="245"/>
      <c r="D19" s="245"/>
      <c r="E19" s="245"/>
      <c r="F19" s="245"/>
      <c r="G19" s="245"/>
      <c r="H19" s="245"/>
      <c r="I19" s="245"/>
      <c r="J19" s="245"/>
      <c r="K19" s="245"/>
      <c r="L19" s="245"/>
      <c r="M19" s="245"/>
      <c r="N19" s="245"/>
      <c r="O19" s="245"/>
      <c r="P19" s="245"/>
      <c r="Q19" s="246"/>
    </row>
    <row r="20" spans="2:17" s="239" customFormat="1" ht="48.95" customHeight="1" x14ac:dyDescent="0.25">
      <c r="B20" s="401" t="s">
        <v>385</v>
      </c>
      <c r="C20" s="402"/>
      <c r="D20" s="402"/>
      <c r="E20" s="402"/>
      <c r="F20" s="402"/>
      <c r="G20" s="402"/>
      <c r="H20" s="402"/>
      <c r="I20" s="402"/>
      <c r="J20" s="402"/>
      <c r="K20" s="402"/>
      <c r="L20" s="402"/>
      <c r="M20" s="402"/>
      <c r="N20" s="402"/>
      <c r="O20" s="402"/>
      <c r="P20" s="402"/>
      <c r="Q20" s="403"/>
    </row>
    <row r="21" spans="2:17" s="239" customFormat="1" ht="15" customHeight="1" x14ac:dyDescent="0.25">
      <c r="B21" s="241"/>
      <c r="C21" s="241"/>
      <c r="D21" s="241"/>
      <c r="E21" s="241"/>
      <c r="F21" s="241"/>
      <c r="G21" s="241"/>
      <c r="H21" s="241"/>
      <c r="I21" s="241"/>
      <c r="J21" s="241"/>
      <c r="K21" s="241"/>
      <c r="L21" s="241"/>
      <c r="M21" s="241"/>
      <c r="N21" s="241"/>
      <c r="O21" s="241"/>
      <c r="P21" s="241"/>
      <c r="Q21" s="241"/>
    </row>
    <row r="22" spans="2:17" x14ac:dyDescent="0.25">
      <c r="B22" s="404" t="s">
        <v>263</v>
      </c>
      <c r="C22" s="405"/>
      <c r="D22" s="405"/>
      <c r="E22" s="405"/>
      <c r="F22" s="405"/>
      <c r="G22" s="405"/>
      <c r="H22" s="405"/>
      <c r="I22" s="405"/>
      <c r="J22" s="405"/>
      <c r="K22" s="405"/>
      <c r="L22" s="405"/>
      <c r="M22" s="405"/>
      <c r="N22" s="405"/>
      <c r="O22" s="405"/>
      <c r="P22" s="405"/>
      <c r="Q22" s="406"/>
    </row>
    <row r="23" spans="2:17" ht="16.5" customHeight="1" x14ac:dyDescent="0.25">
      <c r="B23" s="395" t="s">
        <v>380</v>
      </c>
      <c r="C23" s="396"/>
      <c r="D23" s="396"/>
      <c r="E23" s="396"/>
      <c r="F23" s="396"/>
      <c r="G23" s="396"/>
      <c r="H23" s="396"/>
      <c r="I23" s="396"/>
      <c r="J23" s="396"/>
      <c r="K23" s="396"/>
      <c r="L23" s="396"/>
      <c r="M23" s="396"/>
      <c r="N23" s="396"/>
      <c r="O23" s="396"/>
      <c r="P23" s="396"/>
      <c r="Q23" s="397"/>
    </row>
    <row r="24" spans="2:17" ht="16.5" customHeight="1" x14ac:dyDescent="0.25">
      <c r="B24" s="395" t="s">
        <v>393</v>
      </c>
      <c r="C24" s="396"/>
      <c r="D24" s="396"/>
      <c r="E24" s="396"/>
      <c r="F24" s="396"/>
      <c r="G24" s="396"/>
      <c r="H24" s="396"/>
      <c r="I24" s="396"/>
      <c r="J24" s="396"/>
      <c r="K24" s="396"/>
      <c r="L24" s="396"/>
      <c r="M24" s="396"/>
      <c r="N24" s="396"/>
      <c r="O24" s="396"/>
      <c r="P24" s="396"/>
      <c r="Q24" s="397"/>
    </row>
    <row r="25" spans="2:17" ht="30" customHeight="1" x14ac:dyDescent="0.25">
      <c r="B25" s="407" t="s">
        <v>394</v>
      </c>
      <c r="C25" s="408"/>
      <c r="D25" s="408"/>
      <c r="E25" s="408"/>
      <c r="F25" s="408"/>
      <c r="G25" s="408"/>
      <c r="H25" s="408"/>
      <c r="I25" s="408"/>
      <c r="J25" s="408"/>
      <c r="K25" s="408"/>
      <c r="L25" s="408"/>
      <c r="M25" s="408"/>
      <c r="N25" s="408"/>
      <c r="O25" s="408"/>
      <c r="P25" s="408"/>
      <c r="Q25" s="409"/>
    </row>
    <row r="26" spans="2:17" ht="15" customHeight="1" x14ac:dyDescent="0.25">
      <c r="B26" s="395" t="s">
        <v>395</v>
      </c>
      <c r="C26" s="396"/>
      <c r="D26" s="396"/>
      <c r="E26" s="396"/>
      <c r="F26" s="396"/>
      <c r="G26" s="396"/>
      <c r="H26" s="396"/>
      <c r="I26" s="396"/>
      <c r="J26" s="396"/>
      <c r="K26" s="396"/>
      <c r="L26" s="396"/>
      <c r="M26" s="396"/>
      <c r="N26" s="396"/>
      <c r="O26" s="396"/>
      <c r="P26" s="396"/>
      <c r="Q26" s="397"/>
    </row>
    <row r="27" spans="2:17" ht="15" customHeight="1" x14ac:dyDescent="0.25">
      <c r="B27" s="395" t="s">
        <v>354</v>
      </c>
      <c r="C27" s="396"/>
      <c r="D27" s="396"/>
      <c r="E27" s="396"/>
      <c r="F27" s="396"/>
      <c r="G27" s="396"/>
      <c r="H27" s="396"/>
      <c r="I27" s="396"/>
      <c r="J27" s="396"/>
      <c r="K27" s="396"/>
      <c r="L27" s="396"/>
      <c r="M27" s="396"/>
      <c r="N27" s="396"/>
      <c r="O27" s="396"/>
      <c r="P27" s="396"/>
      <c r="Q27" s="397"/>
    </row>
    <row r="28" spans="2:17" ht="30" customHeight="1" x14ac:dyDescent="0.25">
      <c r="B28" s="395" t="s">
        <v>291</v>
      </c>
      <c r="C28" s="396"/>
      <c r="D28" s="396"/>
      <c r="E28" s="396"/>
      <c r="F28" s="396"/>
      <c r="G28" s="396"/>
      <c r="H28" s="396"/>
      <c r="I28" s="396"/>
      <c r="J28" s="396"/>
      <c r="K28" s="396"/>
      <c r="L28" s="396"/>
      <c r="M28" s="396"/>
      <c r="N28" s="396"/>
      <c r="O28" s="396"/>
      <c r="P28" s="396"/>
      <c r="Q28" s="397"/>
    </row>
    <row r="29" spans="2:17" x14ac:dyDescent="0.25">
      <c r="B29" s="398" t="s">
        <v>275</v>
      </c>
      <c r="C29" s="399"/>
      <c r="D29" s="399"/>
      <c r="E29" s="399"/>
      <c r="F29" s="399"/>
      <c r="G29" s="399"/>
      <c r="H29" s="399"/>
      <c r="I29" s="399"/>
      <c r="J29" s="399"/>
      <c r="K29" s="399"/>
      <c r="L29" s="399"/>
      <c r="M29" s="399"/>
      <c r="N29" s="399"/>
      <c r="O29" s="399"/>
      <c r="P29" s="399"/>
      <c r="Q29" s="400"/>
    </row>
    <row r="30" spans="2:17" x14ac:dyDescent="0.25">
      <c r="B30" s="247"/>
    </row>
  </sheetData>
  <sheetProtection algorithmName="SHA-512" hashValue="h8PIN1vNfVicO43BO21IbhyoY9wx1hcwN2jpPIPOya/qmQADg+KOcdRriTcU/OzIZ/gQrF96+UNxrh9rNnSCIg==" saltValue="w68TrbEW0riauV5BbBVYmw==" spinCount="100000" sheet="1" objects="1" scenarios="1"/>
  <mergeCells count="15">
    <mergeCell ref="B23:Q23"/>
    <mergeCell ref="B28:Q28"/>
    <mergeCell ref="B29:Q29"/>
    <mergeCell ref="B20:Q20"/>
    <mergeCell ref="B22:Q22"/>
    <mergeCell ref="B24:Q24"/>
    <mergeCell ref="B25:Q25"/>
    <mergeCell ref="B26:Q26"/>
    <mergeCell ref="B27:Q27"/>
    <mergeCell ref="B18:Q18"/>
    <mergeCell ref="B4:Q8"/>
    <mergeCell ref="B10:Q10"/>
    <mergeCell ref="B12:Q12"/>
    <mergeCell ref="B14:Q14"/>
    <mergeCell ref="B16:Q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6C17-155E-41AB-A9C5-E2B32819DBE6}">
  <sheetPr>
    <tabColor rgb="FF941100"/>
  </sheetPr>
  <dimension ref="A1:BZ55"/>
  <sheetViews>
    <sheetView zoomScaleNormal="100" workbookViewId="0">
      <selection sqref="A1:Z1"/>
    </sheetView>
  </sheetViews>
  <sheetFormatPr defaultColWidth="9.140625" defaultRowHeight="15" x14ac:dyDescent="0.25"/>
  <cols>
    <col min="1" max="1" width="1.7109375" style="164" customWidth="1"/>
    <col min="2" max="2" width="11.7109375" style="164" customWidth="1"/>
    <col min="3" max="5" width="9.42578125" style="164" customWidth="1"/>
    <col min="6" max="7" width="9.42578125" style="164" hidden="1" customWidth="1"/>
    <col min="8" max="8" width="8.7109375" style="164" customWidth="1"/>
    <col min="9" max="13" width="9.140625" style="164" customWidth="1"/>
    <col min="14" max="22" width="9.140625" style="164"/>
    <col min="23" max="24" width="9.140625" style="164" customWidth="1"/>
    <col min="25" max="26" width="9.140625" style="164"/>
    <col min="27" max="27" width="6" style="164" customWidth="1"/>
    <col min="28" max="16384" width="9.140625" style="164"/>
  </cols>
  <sheetData>
    <row r="1" spans="1:60" ht="18.75" x14ac:dyDescent="0.3">
      <c r="A1" s="411" t="s">
        <v>343</v>
      </c>
      <c r="B1" s="411"/>
      <c r="C1" s="411"/>
      <c r="D1" s="411"/>
      <c r="E1" s="411"/>
      <c r="F1" s="411"/>
      <c r="G1" s="411"/>
      <c r="H1" s="411"/>
      <c r="I1" s="411"/>
      <c r="J1" s="411"/>
      <c r="K1" s="411"/>
      <c r="L1" s="411"/>
      <c r="M1" s="411"/>
      <c r="N1" s="411"/>
      <c r="O1" s="411"/>
      <c r="P1" s="411"/>
      <c r="Q1" s="411"/>
      <c r="R1" s="411"/>
      <c r="S1" s="411"/>
      <c r="T1" s="411"/>
      <c r="U1" s="411"/>
      <c r="V1" s="411"/>
      <c r="W1" s="411"/>
      <c r="X1" s="411"/>
      <c r="Y1" s="411"/>
      <c r="Z1" s="411"/>
    </row>
    <row r="2" spans="1:60" ht="15.75" customHeight="1" x14ac:dyDescent="0.3">
      <c r="A2" s="265" t="s">
        <v>405</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row>
    <row r="3" spans="1:60" ht="15.75" x14ac:dyDescent="0.25">
      <c r="K3" s="190"/>
      <c r="L3" s="191"/>
      <c r="M3" s="192"/>
      <c r="N3" s="192"/>
      <c r="O3" s="192"/>
      <c r="P3" s="192"/>
      <c r="Q3" s="192"/>
    </row>
    <row r="4" spans="1:60" ht="17.25" x14ac:dyDescent="0.3">
      <c r="B4" s="410" t="str">
        <f>'1. Institution-wide Data'!$B$4</f>
        <v>University of X</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266"/>
      <c r="AC4" s="266"/>
      <c r="AD4" s="266"/>
      <c r="AE4" s="266"/>
      <c r="AF4" s="266"/>
    </row>
    <row r="5" spans="1:60" ht="17.25" x14ac:dyDescent="0.3">
      <c r="B5" s="410" t="str">
        <f>CONCATENATE("Initiative: ",'1. Institution-wide Data'!$B$5)</f>
        <v>Initiative: Invest in Advising Technology</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266"/>
      <c r="AC5" s="266"/>
      <c r="AD5" s="266"/>
      <c r="AE5" s="266"/>
      <c r="AF5" s="266"/>
    </row>
    <row r="6" spans="1:60" ht="15.75" x14ac:dyDescent="0.25">
      <c r="B6" s="192"/>
    </row>
    <row r="7" spans="1:60" ht="18.75" x14ac:dyDescent="0.3">
      <c r="B7" s="299" t="s">
        <v>125</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row>
    <row r="8" spans="1:60" ht="15.75" x14ac:dyDescent="0.25">
      <c r="B8" s="374" t="s">
        <v>127</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row>
    <row r="11" spans="1:60" x14ac:dyDescent="0.25">
      <c r="E11" s="165"/>
      <c r="F11" s="165"/>
      <c r="G11" s="165"/>
      <c r="H11" s="165"/>
      <c r="I11" s="165"/>
      <c r="J11" s="165"/>
      <c r="K11" s="165"/>
      <c r="N11" s="166"/>
    </row>
    <row r="13" spans="1:60" x14ac:dyDescent="0.25">
      <c r="C13" s="167"/>
      <c r="D13" s="167"/>
      <c r="E13" s="168"/>
      <c r="F13" s="168"/>
      <c r="G13" s="168"/>
      <c r="H13" s="168"/>
      <c r="I13" s="168"/>
      <c r="J13" s="168"/>
      <c r="K13" s="168"/>
    </row>
    <row r="14" spans="1:60" x14ac:dyDescent="0.25">
      <c r="C14" s="169"/>
      <c r="D14" s="169"/>
      <c r="E14" s="168"/>
      <c r="F14" s="168"/>
      <c r="G14" s="168"/>
      <c r="H14" s="168"/>
      <c r="I14" s="168"/>
      <c r="J14" s="168"/>
      <c r="K14" s="168"/>
    </row>
    <row r="15" spans="1:60" x14ac:dyDescent="0.25">
      <c r="C15" s="170"/>
      <c r="D15" s="170"/>
      <c r="I15" s="171"/>
      <c r="J15" s="171"/>
      <c r="K15" s="171"/>
    </row>
    <row r="17" spans="9:11" x14ac:dyDescent="0.25">
      <c r="I17" s="172"/>
      <c r="J17" s="172"/>
      <c r="K17" s="172"/>
    </row>
    <row r="33" spans="2:78" ht="18.75" x14ac:dyDescent="0.3">
      <c r="B33" s="299" t="s">
        <v>126</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379"/>
      <c r="AH33" s="379"/>
      <c r="AI33" s="379"/>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row>
    <row r="34" spans="2:78" ht="15.75" x14ac:dyDescent="0.25">
      <c r="B34" s="374" t="s">
        <v>348</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379"/>
      <c r="AH34" s="379"/>
      <c r="AI34" s="379"/>
      <c r="AJ34" s="379"/>
      <c r="AK34" s="379"/>
      <c r="AL34" s="379"/>
      <c r="AM34" s="379"/>
      <c r="AN34" s="379"/>
      <c r="AO34" s="379"/>
      <c r="AP34" s="379"/>
      <c r="AQ34" s="379"/>
      <c r="AR34" s="379"/>
      <c r="AS34" s="379"/>
      <c r="AT34" s="379"/>
      <c r="AU34" s="379"/>
      <c r="AV34" s="379"/>
      <c r="AW34" s="379"/>
      <c r="AX34" s="379"/>
      <c r="AY34" s="379"/>
      <c r="AZ34" s="379"/>
      <c r="BA34" s="379"/>
      <c r="BB34" s="379"/>
      <c r="BC34" s="379"/>
      <c r="BD34" s="379"/>
      <c r="BE34" s="379"/>
      <c r="BF34" s="379"/>
      <c r="BG34" s="379"/>
      <c r="BH34" s="379"/>
      <c r="BI34" s="379"/>
      <c r="BJ34" s="379"/>
      <c r="BK34" s="379"/>
      <c r="BL34" s="379"/>
      <c r="BM34" s="379"/>
      <c r="BN34" s="379"/>
      <c r="BO34" s="379"/>
      <c r="BP34" s="379"/>
      <c r="BQ34" s="379"/>
      <c r="BR34" s="379"/>
      <c r="BS34" s="379"/>
      <c r="BT34" s="379"/>
      <c r="BU34" s="379"/>
      <c r="BV34" s="379"/>
      <c r="BW34" s="379"/>
      <c r="BX34" s="379"/>
      <c r="BY34" s="379"/>
      <c r="BZ34" s="379"/>
    </row>
    <row r="35" spans="2:78" ht="15.75" x14ac:dyDescent="0.25">
      <c r="B35" s="274"/>
    </row>
    <row r="36" spans="2:78" x14ac:dyDescent="0.25">
      <c r="B36" s="173"/>
    </row>
    <row r="37" spans="2:78" x14ac:dyDescent="0.25">
      <c r="B37" s="173"/>
    </row>
    <row r="38" spans="2:78" x14ac:dyDescent="0.25">
      <c r="B38" s="173"/>
    </row>
    <row r="39" spans="2:78" x14ac:dyDescent="0.25">
      <c r="B39" s="173"/>
    </row>
    <row r="40" spans="2:78" x14ac:dyDescent="0.25">
      <c r="B40" s="173"/>
    </row>
    <row r="41" spans="2:78" x14ac:dyDescent="0.25">
      <c r="B41" s="173"/>
    </row>
    <row r="42" spans="2:78" x14ac:dyDescent="0.25">
      <c r="B42" s="173"/>
    </row>
    <row r="43" spans="2:78" x14ac:dyDescent="0.25">
      <c r="B43" s="173"/>
    </row>
    <row r="44" spans="2:78" x14ac:dyDescent="0.25">
      <c r="B44" s="173"/>
    </row>
    <row r="45" spans="2:78" x14ac:dyDescent="0.25">
      <c r="B45" s="173"/>
    </row>
    <row r="46" spans="2:78" x14ac:dyDescent="0.25">
      <c r="B46" s="173"/>
    </row>
    <row r="47" spans="2:78" x14ac:dyDescent="0.25">
      <c r="B47" s="173"/>
    </row>
    <row r="48" spans="2:78" x14ac:dyDescent="0.25">
      <c r="B48" s="173"/>
    </row>
    <row r="49" spans="2:22" x14ac:dyDescent="0.25">
      <c r="B49" s="173"/>
    </row>
    <row r="50" spans="2:22" x14ac:dyDescent="0.25">
      <c r="B50" s="173"/>
    </row>
    <row r="51" spans="2:22" x14ac:dyDescent="0.25">
      <c r="B51" s="173"/>
    </row>
    <row r="52" spans="2:22" x14ac:dyDescent="0.25">
      <c r="B52" s="173"/>
    </row>
    <row r="53" spans="2:22" x14ac:dyDescent="0.25">
      <c r="B53" s="173"/>
    </row>
    <row r="54" spans="2:22" x14ac:dyDescent="0.25">
      <c r="B54" s="173"/>
    </row>
    <row r="55" spans="2:22" ht="15.75" x14ac:dyDescent="0.25">
      <c r="E55" s="175"/>
      <c r="F55" s="175"/>
      <c r="G55" s="175"/>
      <c r="H55" s="175"/>
      <c r="I55" s="175"/>
      <c r="J55" s="175"/>
      <c r="K55" s="175"/>
      <c r="L55" s="175"/>
      <c r="M55" s="175"/>
      <c r="N55" s="175"/>
      <c r="O55" s="175"/>
      <c r="P55" s="175"/>
      <c r="Q55" s="175"/>
      <c r="R55" s="175"/>
      <c r="S55" s="175"/>
      <c r="T55" s="175"/>
      <c r="U55" s="175"/>
      <c r="V55" s="175"/>
    </row>
  </sheetData>
  <sheetProtection algorithmName="SHA-512" hashValue="cFziuwX22Nclt0fTJlN311EZKHoUpuU4NIKVtC2gSFYvtpfXwz9Zo7tOujN4LQpWoTgX7xW3Heg1xvh/4q1plg==" saltValue="Wk1tjDp10PBakaocWmZcpg==" spinCount="100000" sheet="1" objects="1" scenarios="1"/>
  <mergeCells count="3">
    <mergeCell ref="B4:AA4"/>
    <mergeCell ref="B5:AA5"/>
    <mergeCell ref="A1:Z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41100"/>
  </sheetPr>
  <dimension ref="A1:AB89"/>
  <sheetViews>
    <sheetView zoomScaleNormal="100" workbookViewId="0"/>
  </sheetViews>
  <sheetFormatPr defaultColWidth="9.140625" defaultRowHeight="15" x14ac:dyDescent="0.25"/>
  <cols>
    <col min="1" max="1" width="1.7109375" style="3" customWidth="1"/>
    <col min="2" max="2" width="10.7109375" style="3" customWidth="1"/>
    <col min="3" max="3" width="73.7109375" style="3" customWidth="1"/>
    <col min="4" max="7" width="14.7109375" style="3" customWidth="1"/>
    <col min="8" max="9" width="14.7109375" style="3" hidden="1" customWidth="1"/>
    <col min="10" max="10" width="9.140625" style="3" customWidth="1"/>
    <col min="11" max="11" width="10.140625" style="3" customWidth="1"/>
    <col min="12" max="16384" width="9.140625" style="3"/>
  </cols>
  <sheetData>
    <row r="1" spans="1:27" ht="18.75" x14ac:dyDescent="0.3">
      <c r="A1" s="277" t="s">
        <v>343</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row>
    <row r="2" spans="1:27" ht="18.75" x14ac:dyDescent="0.3">
      <c r="A2" s="278" t="s">
        <v>405</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row>
    <row r="3" spans="1:27" ht="18.75" x14ac:dyDescent="0.3">
      <c r="B3" s="4"/>
      <c r="C3" s="4"/>
      <c r="D3" s="4"/>
      <c r="E3" s="4"/>
    </row>
    <row r="4" spans="1:27" ht="15.75" x14ac:dyDescent="0.25">
      <c r="B4" s="7" t="s">
        <v>1</v>
      </c>
      <c r="C4" s="412" t="str">
        <f>'1. Institution-wide Data'!$B$4</f>
        <v>University of X</v>
      </c>
      <c r="D4" s="413"/>
      <c r="E4" s="414"/>
    </row>
    <row r="5" spans="1:27" ht="15.75" x14ac:dyDescent="0.25">
      <c r="B5" s="7" t="s">
        <v>0</v>
      </c>
      <c r="C5" s="415" t="str">
        <f>'1. Institution-wide Data'!$B$5</f>
        <v>Invest in Advising Technology</v>
      </c>
      <c r="D5" s="416"/>
      <c r="E5" s="417"/>
    </row>
    <row r="7" spans="1:27" x14ac:dyDescent="0.25">
      <c r="B7" s="283" t="s">
        <v>71</v>
      </c>
      <c r="C7" s="283"/>
      <c r="D7" s="283"/>
      <c r="E7" s="283"/>
      <c r="F7" s="283"/>
      <c r="G7" s="283"/>
      <c r="H7" s="373"/>
      <c r="I7" s="373"/>
      <c r="J7" s="6"/>
      <c r="K7" s="6"/>
      <c r="L7" s="6"/>
    </row>
    <row r="9" spans="1:27" ht="15.75" x14ac:dyDescent="0.25">
      <c r="B9" s="284" t="s">
        <v>114</v>
      </c>
      <c r="C9" s="285"/>
      <c r="D9" s="286"/>
      <c r="E9" s="286"/>
      <c r="F9" s="286"/>
      <c r="G9" s="286"/>
      <c r="H9" s="372"/>
      <c r="I9" s="372"/>
    </row>
    <row r="10" spans="1:27" x14ac:dyDescent="0.25">
      <c r="B10" s="16"/>
      <c r="C10" s="16"/>
      <c r="D10" s="16"/>
      <c r="E10" s="16"/>
      <c r="F10" s="16"/>
      <c r="G10" s="16"/>
      <c r="H10" s="16"/>
      <c r="I10" s="16"/>
    </row>
    <row r="11" spans="1:27" ht="30" x14ac:dyDescent="0.25">
      <c r="B11" s="16"/>
      <c r="C11" s="22"/>
      <c r="D11" s="34" t="s">
        <v>206</v>
      </c>
      <c r="E11" s="20" t="s">
        <v>3</v>
      </c>
      <c r="F11" s="20" t="s">
        <v>4</v>
      </c>
      <c r="G11" s="20" t="s">
        <v>5</v>
      </c>
      <c r="H11" s="20" t="s">
        <v>6</v>
      </c>
      <c r="I11" s="20" t="s">
        <v>7</v>
      </c>
    </row>
    <row r="12" spans="1:27" ht="15.75" x14ac:dyDescent="0.25">
      <c r="B12" s="284" t="s">
        <v>226</v>
      </c>
      <c r="C12" s="285"/>
      <c r="D12" s="286"/>
      <c r="E12" s="286"/>
      <c r="F12" s="286"/>
      <c r="G12" s="286"/>
      <c r="H12" s="372"/>
      <c r="I12" s="372"/>
    </row>
    <row r="13" spans="1:27" x14ac:dyDescent="0.25">
      <c r="B13" s="17" t="s">
        <v>60</v>
      </c>
      <c r="C13" s="17"/>
      <c r="D13" s="67">
        <f>'2b Initiative - Plan of Finance'!C$15</f>
        <v>158750</v>
      </c>
      <c r="E13" s="67">
        <f>'2b Initiative - Plan of Finance'!D$15</f>
        <v>140125</v>
      </c>
      <c r="F13" s="67">
        <f>'2b Initiative - Plan of Finance'!E$15</f>
        <v>121527.5</v>
      </c>
      <c r="G13" s="67">
        <f>'2b Initiative - Plan of Finance'!F$15</f>
        <v>102958.04999999999</v>
      </c>
      <c r="H13" s="67">
        <f>'2b Initiative - Plan of Finance'!G$15</f>
        <v>0</v>
      </c>
      <c r="I13" s="67">
        <f>'2b Initiative - Plan of Finance'!H$15</f>
        <v>0</v>
      </c>
    </row>
    <row r="14" spans="1:27" x14ac:dyDescent="0.25">
      <c r="B14" s="39" t="s">
        <v>132</v>
      </c>
      <c r="C14" s="17"/>
      <c r="D14" s="67">
        <f>'2b Initiative - Plan of Finance'!C$19</f>
        <v>0</v>
      </c>
      <c r="E14" s="67">
        <f>'2b Initiative - Plan of Finance'!D$19</f>
        <v>0</v>
      </c>
      <c r="F14" s="67">
        <f>'2b Initiative - Plan of Finance'!E$19</f>
        <v>0</v>
      </c>
      <c r="G14" s="67">
        <f>'2b Initiative - Plan of Finance'!F$19</f>
        <v>0</v>
      </c>
      <c r="H14" s="67">
        <f>'2b Initiative - Plan of Finance'!G$19</f>
        <v>0</v>
      </c>
      <c r="I14" s="67">
        <f>'2b Initiative - Plan of Finance'!H$19</f>
        <v>0</v>
      </c>
    </row>
    <row r="15" spans="1:27" x14ac:dyDescent="0.25">
      <c r="B15" s="17" t="s">
        <v>227</v>
      </c>
      <c r="C15" s="17"/>
      <c r="D15" s="67">
        <f>'2b Initiative - Plan of Finance'!C$23</f>
        <v>100000</v>
      </c>
      <c r="E15" s="67">
        <f>'2b Initiative - Plan of Finance'!D$23</f>
        <v>100000</v>
      </c>
      <c r="F15" s="67">
        <f>'2b Initiative - Plan of Finance'!E$23</f>
        <v>100000</v>
      </c>
      <c r="G15" s="67">
        <f>'2b Initiative - Plan of Finance'!F$23</f>
        <v>100000</v>
      </c>
      <c r="H15" s="67">
        <f>'2b Initiative - Plan of Finance'!G$23</f>
        <v>100000</v>
      </c>
      <c r="I15" s="67">
        <f>'2b Initiative - Plan of Finance'!H$23</f>
        <v>100000</v>
      </c>
    </row>
    <row r="16" spans="1:27" x14ac:dyDescent="0.25">
      <c r="B16" s="17" t="s">
        <v>228</v>
      </c>
      <c r="C16" s="17"/>
      <c r="D16" s="67">
        <f>'2b Initiative - Plan of Finance'!C$27</f>
        <v>0</v>
      </c>
      <c r="E16" s="67">
        <f>'2b Initiative - Plan of Finance'!D$27</f>
        <v>0</v>
      </c>
      <c r="F16" s="67">
        <f>'2b Initiative - Plan of Finance'!E$27</f>
        <v>0</v>
      </c>
      <c r="G16" s="67">
        <f>'2b Initiative - Plan of Finance'!F$27</f>
        <v>0</v>
      </c>
      <c r="H16" s="67">
        <f>'2b Initiative - Plan of Finance'!G$27</f>
        <v>0</v>
      </c>
      <c r="I16" s="67">
        <f>'2b Initiative - Plan of Finance'!H$27</f>
        <v>0</v>
      </c>
    </row>
    <row r="17" spans="2:28" x14ac:dyDescent="0.25">
      <c r="B17" s="22"/>
      <c r="C17" s="16"/>
      <c r="D17" s="69"/>
      <c r="E17" s="69"/>
      <c r="F17" s="69"/>
      <c r="G17" s="69"/>
      <c r="H17" s="69"/>
      <c r="I17" s="69"/>
    </row>
    <row r="18" spans="2:28" x14ac:dyDescent="0.25">
      <c r="B18" s="19" t="s">
        <v>229</v>
      </c>
      <c r="C18" s="19"/>
      <c r="D18" s="51">
        <f t="shared" ref="D18:I18" si="0">SUM(D13:D16)</f>
        <v>258750</v>
      </c>
      <c r="E18" s="51">
        <f t="shared" si="0"/>
        <v>240125</v>
      </c>
      <c r="F18" s="51">
        <f t="shared" si="0"/>
        <v>221527.5</v>
      </c>
      <c r="G18" s="51">
        <f t="shared" si="0"/>
        <v>202958.05</v>
      </c>
      <c r="H18" s="51">
        <f t="shared" si="0"/>
        <v>100000</v>
      </c>
      <c r="I18" s="51">
        <f t="shared" si="0"/>
        <v>100000</v>
      </c>
    </row>
    <row r="19" spans="2:28" x14ac:dyDescent="0.25">
      <c r="B19" s="16"/>
      <c r="C19" s="16"/>
      <c r="D19" s="23"/>
      <c r="E19" s="23"/>
      <c r="F19" s="23"/>
      <c r="G19" s="23"/>
      <c r="H19" s="23"/>
      <c r="I19" s="23"/>
    </row>
    <row r="20" spans="2:28" ht="15.75" x14ac:dyDescent="0.25">
      <c r="B20" s="284" t="s">
        <v>117</v>
      </c>
      <c r="C20" s="285"/>
      <c r="D20" s="286"/>
      <c r="E20" s="286"/>
      <c r="F20" s="286"/>
      <c r="G20" s="286"/>
      <c r="H20" s="372"/>
      <c r="I20" s="372"/>
    </row>
    <row r="21" spans="2:28" x14ac:dyDescent="0.25">
      <c r="B21" s="17" t="s">
        <v>133</v>
      </c>
      <c r="C21" s="17"/>
      <c r="D21" s="17"/>
      <c r="E21" s="17"/>
      <c r="F21" s="17"/>
      <c r="G21" s="17"/>
      <c r="H21" s="17"/>
      <c r="I21" s="17"/>
    </row>
    <row r="22" spans="2:28" x14ac:dyDescent="0.25">
      <c r="B22" s="49" t="s">
        <v>134</v>
      </c>
      <c r="C22" s="17"/>
      <c r="D22" s="66">
        <f>'2c. Initiative - Personnel Exp.'!M60</f>
        <v>181250</v>
      </c>
      <c r="E22" s="66">
        <f>'2c. Initiative - Personnel Exp.'!N60</f>
        <v>184875</v>
      </c>
      <c r="F22" s="66">
        <f>'2c. Initiative - Personnel Exp.'!O60</f>
        <v>219822.5</v>
      </c>
      <c r="G22" s="66">
        <f>'2c. Initiative - Personnel Exp.'!P60</f>
        <v>256513.95</v>
      </c>
      <c r="H22" s="66">
        <f>'2c. Initiative - Personnel Exp.'!Q60</f>
        <v>0</v>
      </c>
      <c r="I22" s="66">
        <f>'2c. Initiative - Personnel Exp.'!R60</f>
        <v>0</v>
      </c>
    </row>
    <row r="23" spans="2:28" x14ac:dyDescent="0.25">
      <c r="B23" s="49" t="s">
        <v>135</v>
      </c>
      <c r="C23" s="17"/>
      <c r="D23" s="50">
        <f>'2d. Initiative - Operating Exp.'!D43</f>
        <v>135000</v>
      </c>
      <c r="E23" s="50">
        <f>'2d. Initiative - Operating Exp.'!E43</f>
        <v>137700</v>
      </c>
      <c r="F23" s="50">
        <f>'2d. Initiative - Operating Exp.'!F43</f>
        <v>140454</v>
      </c>
      <c r="G23" s="50">
        <f>'2d. Initiative - Operating Exp.'!G43</f>
        <v>143263.07999999999</v>
      </c>
      <c r="H23" s="50">
        <f>'2d. Initiative - Operating Exp.'!H43</f>
        <v>146128.34160000001</v>
      </c>
      <c r="I23" s="50">
        <f>'2d. Initiative - Operating Exp.'!I43</f>
        <v>149050.908432</v>
      </c>
    </row>
    <row r="24" spans="2:28" x14ac:dyDescent="0.25">
      <c r="B24" s="16"/>
      <c r="C24" s="16"/>
      <c r="D24" s="23"/>
      <c r="E24" s="23"/>
      <c r="F24" s="23"/>
      <c r="G24" s="23"/>
      <c r="H24" s="23"/>
      <c r="I24" s="23"/>
    </row>
    <row r="25" spans="2:28" x14ac:dyDescent="0.25">
      <c r="B25" s="19" t="s">
        <v>61</v>
      </c>
      <c r="C25" s="19"/>
      <c r="D25" s="82">
        <f t="shared" ref="D25:I25" si="1">SUM(D22:D23)</f>
        <v>316250</v>
      </c>
      <c r="E25" s="82">
        <f t="shared" si="1"/>
        <v>322575</v>
      </c>
      <c r="F25" s="82">
        <f t="shared" si="1"/>
        <v>360276.5</v>
      </c>
      <c r="G25" s="82">
        <f t="shared" si="1"/>
        <v>399777.03</v>
      </c>
      <c r="H25" s="82">
        <f t="shared" si="1"/>
        <v>146128.34160000001</v>
      </c>
      <c r="I25" s="82">
        <f t="shared" si="1"/>
        <v>149050.908432</v>
      </c>
    </row>
    <row r="26" spans="2:28" x14ac:dyDescent="0.25">
      <c r="B26" s="272" t="s">
        <v>349</v>
      </c>
      <c r="C26" s="19"/>
      <c r="D26" s="273">
        <f>D25</f>
        <v>316250</v>
      </c>
      <c r="E26" s="273">
        <f>SUM(D26,E25)</f>
        <v>638825</v>
      </c>
      <c r="F26" s="273">
        <f t="shared" ref="F26:I26" si="2">SUM(E26,F25)</f>
        <v>999101.5</v>
      </c>
      <c r="G26" s="273">
        <f t="shared" si="2"/>
        <v>1398878.53</v>
      </c>
      <c r="H26" s="273">
        <f t="shared" si="2"/>
        <v>1545006.8716</v>
      </c>
      <c r="I26" s="273">
        <f t="shared" si="2"/>
        <v>1694057.780032</v>
      </c>
    </row>
    <row r="27" spans="2:28" x14ac:dyDescent="0.25">
      <c r="B27" s="16"/>
      <c r="C27" s="16"/>
      <c r="D27" s="23"/>
      <c r="E27" s="23"/>
      <c r="F27" s="23"/>
      <c r="G27" s="23"/>
      <c r="H27" s="23"/>
      <c r="I27" s="23"/>
    </row>
    <row r="28" spans="2:28" x14ac:dyDescent="0.25">
      <c r="B28" s="19" t="s">
        <v>230</v>
      </c>
      <c r="C28" s="10"/>
      <c r="D28" s="83">
        <f t="shared" ref="D28:I28" si="3">D18-D25</f>
        <v>-57500</v>
      </c>
      <c r="E28" s="83">
        <f t="shared" si="3"/>
        <v>-82450</v>
      </c>
      <c r="F28" s="83">
        <f t="shared" si="3"/>
        <v>-138749</v>
      </c>
      <c r="G28" s="83">
        <f t="shared" si="3"/>
        <v>-196818.98000000004</v>
      </c>
      <c r="H28" s="83">
        <f t="shared" si="3"/>
        <v>-46128.341600000014</v>
      </c>
      <c r="I28" s="83">
        <f t="shared" si="3"/>
        <v>-49050.908431999997</v>
      </c>
    </row>
    <row r="29" spans="2:28" x14ac:dyDescent="0.25">
      <c r="B29" s="16"/>
      <c r="C29" s="16"/>
      <c r="D29" s="23"/>
      <c r="E29" s="23"/>
      <c r="F29" s="23"/>
      <c r="G29" s="23"/>
      <c r="H29" s="23"/>
      <c r="I29" s="23"/>
    </row>
    <row r="30" spans="2:28" x14ac:dyDescent="0.25">
      <c r="B30" s="128" t="s">
        <v>231</v>
      </c>
      <c r="C30" s="129"/>
      <c r="D30" s="130">
        <f>D28</f>
        <v>-57500</v>
      </c>
      <c r="E30" s="130">
        <f>D30+E28</f>
        <v>-139950</v>
      </c>
      <c r="F30" s="130">
        <f>E30+F28</f>
        <v>-278699</v>
      </c>
      <c r="G30" s="130">
        <f>F30+G28</f>
        <v>-475517.98000000004</v>
      </c>
      <c r="H30" s="130">
        <f>G30+H28</f>
        <v>-521646.32160000002</v>
      </c>
      <c r="I30" s="130">
        <f>H30+I28</f>
        <v>-570697.23003199999</v>
      </c>
    </row>
    <row r="31" spans="2:28" x14ac:dyDescent="0.25">
      <c r="B31" s="16"/>
      <c r="C31" s="16"/>
      <c r="D31" s="23"/>
      <c r="E31" s="23"/>
      <c r="F31" s="23"/>
      <c r="G31" s="23"/>
      <c r="H31" s="23"/>
      <c r="I31" s="23"/>
      <c r="AB31" s="65" t="e">
        <f>'Dashboard Data'!E18:G18</f>
        <v>#VALUE!</v>
      </c>
    </row>
    <row r="32" spans="2:28" x14ac:dyDescent="0.25">
      <c r="B32" s="39" t="s">
        <v>136</v>
      </c>
      <c r="C32" s="17"/>
      <c r="D32" s="67">
        <f>D25*'1. Institution-wide Data'!$C$43</f>
        <v>79062.5</v>
      </c>
      <c r="E32" s="67">
        <f>E25*'1. Institution-wide Data'!$C$43</f>
        <v>80643.75</v>
      </c>
      <c r="F32" s="67">
        <f>F25*'1. Institution-wide Data'!$C$43</f>
        <v>90069.125</v>
      </c>
      <c r="G32" s="67">
        <f>G25*'1. Institution-wide Data'!$C$43</f>
        <v>99944.257500000007</v>
      </c>
      <c r="H32" s="67">
        <f>H25*'1. Institution-wide Data'!$C$43</f>
        <v>36532.085400000004</v>
      </c>
      <c r="I32" s="67">
        <f>I25*'1. Institution-wide Data'!$C$43</f>
        <v>37262.727107999999</v>
      </c>
    </row>
    <row r="33" spans="2:9" x14ac:dyDescent="0.25">
      <c r="B33" s="16"/>
      <c r="C33" s="16"/>
      <c r="D33" s="23"/>
      <c r="E33" s="23"/>
      <c r="F33" s="23"/>
      <c r="G33" s="23"/>
      <c r="H33" s="23"/>
      <c r="I33" s="23"/>
    </row>
    <row r="34" spans="2:9" x14ac:dyDescent="0.25">
      <c r="B34" s="19" t="s">
        <v>232</v>
      </c>
      <c r="C34" s="17"/>
      <c r="D34" s="83">
        <f t="shared" ref="D34:I34" si="4">D28-D32</f>
        <v>-136562.5</v>
      </c>
      <c r="E34" s="83">
        <f t="shared" si="4"/>
        <v>-163093.75</v>
      </c>
      <c r="F34" s="83">
        <f t="shared" si="4"/>
        <v>-228818.125</v>
      </c>
      <c r="G34" s="83">
        <f t="shared" si="4"/>
        <v>-296763.23750000005</v>
      </c>
      <c r="H34" s="83">
        <f t="shared" si="4"/>
        <v>-82660.427000000025</v>
      </c>
      <c r="I34" s="83">
        <f t="shared" si="4"/>
        <v>-86313.635539999988</v>
      </c>
    </row>
    <row r="35" spans="2:9" x14ac:dyDescent="0.25">
      <c r="B35" s="16"/>
      <c r="C35" s="16"/>
      <c r="D35" s="23"/>
      <c r="E35" s="23"/>
      <c r="F35" s="23"/>
      <c r="G35" s="23"/>
      <c r="H35" s="23"/>
      <c r="I35" s="24"/>
    </row>
    <row r="36" spans="2:9" x14ac:dyDescent="0.25">
      <c r="B36" s="19" t="s">
        <v>233</v>
      </c>
      <c r="C36" s="17"/>
      <c r="D36" s="68">
        <f>D34</f>
        <v>-136562.5</v>
      </c>
      <c r="E36" s="68">
        <f>D36+E34</f>
        <v>-299656.25</v>
      </c>
      <c r="F36" s="68">
        <f>E36+F34</f>
        <v>-528474.375</v>
      </c>
      <c r="G36" s="68">
        <f>F36+G34</f>
        <v>-825237.61250000005</v>
      </c>
      <c r="H36" s="68">
        <f>G36+H34</f>
        <v>-907898.03950000007</v>
      </c>
      <c r="I36" s="68">
        <f>H36+I34</f>
        <v>-994211.67504000012</v>
      </c>
    </row>
    <row r="37" spans="2:9" x14ac:dyDescent="0.25">
      <c r="B37" s="16"/>
      <c r="C37" s="16"/>
      <c r="D37" s="16"/>
      <c r="E37" s="16"/>
      <c r="F37" s="16"/>
      <c r="G37" s="16"/>
      <c r="H37" s="16"/>
      <c r="I37" s="16"/>
    </row>
    <row r="38" spans="2:9" x14ac:dyDescent="0.25">
      <c r="B38" s="31"/>
    </row>
    <row r="39" spans="2:9" ht="15.75" x14ac:dyDescent="0.25">
      <c r="B39" s="284" t="s">
        <v>121</v>
      </c>
      <c r="C39" s="285"/>
      <c r="D39" s="286"/>
      <c r="E39" s="286"/>
      <c r="F39" s="286"/>
      <c r="G39" s="286"/>
      <c r="H39" s="372"/>
      <c r="I39" s="372"/>
    </row>
    <row r="40" spans="2:9" ht="30" x14ac:dyDescent="0.25">
      <c r="B40" s="16"/>
      <c r="C40" s="22"/>
      <c r="D40" s="34" t="s">
        <v>206</v>
      </c>
      <c r="E40" s="20" t="s">
        <v>3</v>
      </c>
      <c r="F40" s="20" t="s">
        <v>4</v>
      </c>
      <c r="G40" s="20" t="s">
        <v>5</v>
      </c>
      <c r="H40" s="20" t="s">
        <v>6</v>
      </c>
      <c r="I40" s="20" t="s">
        <v>7</v>
      </c>
    </row>
    <row r="41" spans="2:9" x14ac:dyDescent="0.25">
      <c r="B41" s="10" t="s">
        <v>128</v>
      </c>
      <c r="C41" s="10"/>
      <c r="D41" s="142"/>
      <c r="E41" s="141">
        <f>SUM(E42,E44)</f>
        <v>120041.67999999957</v>
      </c>
      <c r="F41" s="141">
        <f>SUM(F42,F44)</f>
        <v>261690.8623999994</v>
      </c>
      <c r="G41" s="141">
        <f>SUM(G42,G44)</f>
        <v>503274.74340000015</v>
      </c>
      <c r="H41" s="141">
        <f>SUM(H42,H44)</f>
        <v>0</v>
      </c>
      <c r="I41" s="141">
        <f>SUM(I42,I44)</f>
        <v>0</v>
      </c>
    </row>
    <row r="42" spans="2:9" x14ac:dyDescent="0.25">
      <c r="B42" s="135" t="s">
        <v>118</v>
      </c>
      <c r="C42" s="17"/>
      <c r="D42" s="16"/>
      <c r="E42" s="136">
        <f>'ROI&amp;Efficiency Calculations'!C18</f>
        <v>0</v>
      </c>
      <c r="F42" s="136">
        <f>'ROI&amp;Efficiency Calculations'!D18</f>
        <v>81628.342400000067</v>
      </c>
      <c r="G42" s="136">
        <f>'ROI&amp;Efficiency Calculations'!E18</f>
        <v>165657.51840000018</v>
      </c>
      <c r="H42" s="136">
        <f>'ROI&amp;Efficiency Calculations'!F18</f>
        <v>0</v>
      </c>
      <c r="I42" s="136">
        <f>'ROI&amp;Efficiency Calculations'!G18</f>
        <v>0</v>
      </c>
    </row>
    <row r="43" spans="2:9" x14ac:dyDescent="0.25">
      <c r="B43" s="138" t="s">
        <v>119</v>
      </c>
      <c r="C43" s="17"/>
      <c r="D43" s="139">
        <f>'ROI&amp;Efficiency Calculations'!B13</f>
        <v>0.61199999999999999</v>
      </c>
      <c r="E43" s="139">
        <f>'ROI&amp;Efficiency Calculations'!C13</f>
        <v>0.61199999999999999</v>
      </c>
      <c r="F43" s="139">
        <f>'ROI&amp;Efficiency Calculations'!D13</f>
        <v>0.622</v>
      </c>
      <c r="G43" s="139">
        <f>'ROI&amp;Efficiency Calculations'!E13</f>
        <v>0.63200000000000001</v>
      </c>
      <c r="H43" s="139">
        <f>'ROI&amp;Efficiency Calculations'!F13</f>
        <v>0</v>
      </c>
      <c r="I43" s="139">
        <f>'ROI&amp;Efficiency Calculations'!G13</f>
        <v>0</v>
      </c>
    </row>
    <row r="44" spans="2:9" x14ac:dyDescent="0.25">
      <c r="B44" s="135" t="s">
        <v>141</v>
      </c>
      <c r="C44" s="17"/>
      <c r="D44" s="16"/>
      <c r="E44" s="137">
        <f>'ROI&amp;Efficiency Calculations'!C28</f>
        <v>120041.67999999957</v>
      </c>
      <c r="F44" s="137">
        <f>'ROI&amp;Efficiency Calculations'!D28</f>
        <v>180062.51999999935</v>
      </c>
      <c r="G44" s="137">
        <f>'ROI&amp;Efficiency Calculations'!E28</f>
        <v>337617.22499999998</v>
      </c>
      <c r="H44" s="137">
        <f>'ROI&amp;Efficiency Calculations'!F28</f>
        <v>0</v>
      </c>
      <c r="I44" s="137">
        <f>'ROI&amp;Efficiency Calculations'!G28</f>
        <v>0</v>
      </c>
    </row>
    <row r="45" spans="2:9" x14ac:dyDescent="0.25">
      <c r="B45" s="138" t="s">
        <v>120</v>
      </c>
      <c r="C45" s="17"/>
      <c r="D45" s="140">
        <f>'ROI&amp;Efficiency Calculations'!B23</f>
        <v>13.3</v>
      </c>
      <c r="E45" s="140">
        <f>'ROI&amp;Efficiency Calculations'!C23</f>
        <v>13.5</v>
      </c>
      <c r="F45" s="140">
        <f>'ROI&amp;Efficiency Calculations'!D23</f>
        <v>13.6</v>
      </c>
      <c r="G45" s="140">
        <f>'ROI&amp;Efficiency Calculations'!E23</f>
        <v>13.8</v>
      </c>
      <c r="H45" s="140">
        <f>'ROI&amp;Efficiency Calculations'!F23</f>
        <v>0</v>
      </c>
      <c r="I45" s="140">
        <f>'ROI&amp;Efficiency Calculations'!G23</f>
        <v>0</v>
      </c>
    </row>
    <row r="46" spans="2:9" ht="7.5" customHeight="1" x14ac:dyDescent="0.25">
      <c r="B46" s="142"/>
      <c r="C46" s="16"/>
      <c r="D46" s="69"/>
      <c r="E46" s="69"/>
      <c r="F46" s="69"/>
      <c r="G46" s="69"/>
      <c r="H46" s="69"/>
      <c r="I46" s="69"/>
    </row>
    <row r="47" spans="2:9" x14ac:dyDescent="0.25">
      <c r="B47" s="10" t="s">
        <v>321</v>
      </c>
      <c r="C47" s="17"/>
      <c r="D47" s="68">
        <f t="shared" ref="D47:I47" si="5">D41-D25</f>
        <v>-316250</v>
      </c>
      <c r="E47" s="68">
        <f t="shared" si="5"/>
        <v>-202533.32000000041</v>
      </c>
      <c r="F47" s="68">
        <f t="shared" si="5"/>
        <v>-98585.637600000598</v>
      </c>
      <c r="G47" s="68">
        <f t="shared" si="5"/>
        <v>103497.71340000012</v>
      </c>
      <c r="H47" s="68">
        <f t="shared" si="5"/>
        <v>-146128.34160000001</v>
      </c>
      <c r="I47" s="68">
        <f t="shared" si="5"/>
        <v>-149050.908432</v>
      </c>
    </row>
    <row r="48" spans="2:9" x14ac:dyDescent="0.25">
      <c r="B48" s="269" t="s">
        <v>350</v>
      </c>
      <c r="C48" s="17"/>
      <c r="D48" s="271">
        <f>IF(D41=0,0,D47/D25)</f>
        <v>0</v>
      </c>
      <c r="E48" s="271">
        <f t="shared" ref="E48:I48" si="6">IF(E41=0,0,E47/E25)</f>
        <v>-0.62786427962489477</v>
      </c>
      <c r="F48" s="271">
        <f t="shared" si="6"/>
        <v>-0.27363882351471885</v>
      </c>
      <c r="G48" s="271">
        <f t="shared" si="6"/>
        <v>0.25888859447477541</v>
      </c>
      <c r="H48" s="271">
        <f t="shared" si="6"/>
        <v>0</v>
      </c>
      <c r="I48" s="271">
        <f t="shared" si="6"/>
        <v>0</v>
      </c>
    </row>
    <row r="49" spans="2:12" ht="15" customHeight="1" x14ac:dyDescent="0.25">
      <c r="B49" s="16"/>
      <c r="C49" s="16"/>
      <c r="D49" s="143"/>
      <c r="E49" s="143"/>
      <c r="F49" s="143"/>
      <c r="G49" s="143"/>
      <c r="H49" s="143"/>
      <c r="I49" s="143"/>
    </row>
    <row r="50" spans="2:12" ht="15" customHeight="1" x14ac:dyDescent="0.25">
      <c r="B50" s="418" t="s">
        <v>131</v>
      </c>
      <c r="C50" s="418"/>
      <c r="D50" s="68">
        <f>D47</f>
        <v>-316250</v>
      </c>
      <c r="E50" s="68">
        <f>D50+E47</f>
        <v>-518783.32000000041</v>
      </c>
      <c r="F50" s="68">
        <f>E50+F47</f>
        <v>-617368.95760000101</v>
      </c>
      <c r="G50" s="68">
        <f>F50+G47</f>
        <v>-513871.24420000089</v>
      </c>
      <c r="H50" s="68">
        <f>G50+H47</f>
        <v>-659999.58580000093</v>
      </c>
      <c r="I50" s="68">
        <f>H50+I47</f>
        <v>-809050.4942320009</v>
      </c>
    </row>
    <row r="51" spans="2:12" ht="15" customHeight="1" x14ac:dyDescent="0.25">
      <c r="B51" s="269" t="s">
        <v>351</v>
      </c>
      <c r="C51" s="268"/>
      <c r="D51" s="271">
        <f>IF(D41=0,0,D50/D26)</f>
        <v>0</v>
      </c>
      <c r="E51" s="271">
        <f t="shared" ref="E51:I51" si="7">IF(E41=0,0,E50/E26)</f>
        <v>-0.81208988377098645</v>
      </c>
      <c r="F51" s="271">
        <f t="shared" si="7"/>
        <v>-0.61792416245997128</v>
      </c>
      <c r="G51" s="271">
        <f t="shared" si="7"/>
        <v>-0.36734515054713213</v>
      </c>
      <c r="H51" s="271">
        <f t="shared" si="7"/>
        <v>0</v>
      </c>
      <c r="I51" s="271">
        <f t="shared" si="7"/>
        <v>0</v>
      </c>
    </row>
    <row r="52" spans="2:12" ht="15" customHeight="1" x14ac:dyDescent="0.25">
      <c r="B52" s="16"/>
      <c r="C52" s="16"/>
      <c r="D52" s="16"/>
      <c r="E52" s="16"/>
      <c r="F52" s="16"/>
      <c r="G52" s="16"/>
      <c r="H52" s="16"/>
      <c r="I52" s="16"/>
    </row>
    <row r="53" spans="2:12" ht="15" customHeight="1" x14ac:dyDescent="0.25">
      <c r="B53" s="10" t="s">
        <v>322</v>
      </c>
      <c r="C53" s="256"/>
      <c r="D53" s="68">
        <f t="shared" ref="D53:I53" si="8">SUM(D18,D41)-D25</f>
        <v>-57500</v>
      </c>
      <c r="E53" s="68">
        <f t="shared" si="8"/>
        <v>37591.679999999586</v>
      </c>
      <c r="F53" s="68">
        <f t="shared" si="8"/>
        <v>122941.8623999994</v>
      </c>
      <c r="G53" s="68">
        <f t="shared" si="8"/>
        <v>306455.76340000005</v>
      </c>
      <c r="H53" s="68">
        <f t="shared" si="8"/>
        <v>-46128.341600000014</v>
      </c>
      <c r="I53" s="68">
        <f t="shared" si="8"/>
        <v>-49050.908431999997</v>
      </c>
    </row>
    <row r="54" spans="2:12" x14ac:dyDescent="0.25">
      <c r="E54" s="205"/>
      <c r="F54" s="205"/>
      <c r="G54" s="205"/>
    </row>
    <row r="55" spans="2:12" ht="15.75" x14ac:dyDescent="0.25">
      <c r="B55" s="284" t="s">
        <v>255</v>
      </c>
      <c r="C55" s="285"/>
      <c r="D55" s="286"/>
      <c r="E55" s="286"/>
      <c r="F55" s="286"/>
      <c r="G55" s="286"/>
      <c r="H55" s="372"/>
      <c r="I55" s="372"/>
    </row>
    <row r="56" spans="2:12" ht="30" x14ac:dyDescent="0.25">
      <c r="B56" s="16"/>
      <c r="C56" s="16"/>
      <c r="D56" s="34" t="s">
        <v>206</v>
      </c>
      <c r="E56" s="20" t="s">
        <v>3</v>
      </c>
      <c r="F56" s="20" t="s">
        <v>4</v>
      </c>
      <c r="G56" s="20" t="s">
        <v>5</v>
      </c>
      <c r="H56" s="20" t="s">
        <v>6</v>
      </c>
      <c r="I56" s="20" t="s">
        <v>7</v>
      </c>
    </row>
    <row r="57" spans="2:12" x14ac:dyDescent="0.25">
      <c r="B57" s="10" t="s">
        <v>262</v>
      </c>
      <c r="C57" s="17"/>
      <c r="D57" s="16"/>
      <c r="E57" s="68">
        <f>'ROI&amp;Efficiency Calculations'!C60</f>
        <v>173145.75</v>
      </c>
      <c r="F57" s="68">
        <f>'ROI&amp;Efficiency Calculations'!D60</f>
        <v>364560.48</v>
      </c>
      <c r="G57" s="68">
        <f>'ROI&amp;Efficiency Calculations'!E60</f>
        <v>534450.46</v>
      </c>
      <c r="H57" s="68">
        <f>'ROI&amp;Efficiency Calculations'!F60</f>
        <v>831119.71</v>
      </c>
      <c r="I57" s="68">
        <f>'ROI&amp;Efficiency Calculations'!G60</f>
        <v>1045933.6</v>
      </c>
    </row>
    <row r="58" spans="2:12" x14ac:dyDescent="0.25">
      <c r="B58" s="138" t="s">
        <v>256</v>
      </c>
      <c r="C58" s="17"/>
      <c r="D58" s="227">
        <f>'ROI&amp;Efficiency Calculations'!B58</f>
        <v>672.10884353741494</v>
      </c>
      <c r="E58" s="227">
        <f>'ROI&amp;Efficiency Calculations'!C58</f>
        <v>690.25578231292513</v>
      </c>
      <c r="F58" s="227">
        <f>'ROI&amp;Efficiency Calculations'!D58</f>
        <v>708.892688435374</v>
      </c>
      <c r="G58" s="227">
        <f>'ROI&amp;Efficiency Calculations'!E58</f>
        <v>728.03279102312899</v>
      </c>
      <c r="H58" s="227">
        <f>'ROI&amp;Efficiency Calculations'!F58</f>
        <v>747.68967638075344</v>
      </c>
      <c r="I58" s="227">
        <f>'ROI&amp;Efficiency Calculations'!G58</f>
        <v>767.87729764303367</v>
      </c>
    </row>
    <row r="59" spans="2:12" x14ac:dyDescent="0.25">
      <c r="B59" s="138" t="s">
        <v>261</v>
      </c>
      <c r="C59" s="17"/>
      <c r="D59" s="229"/>
      <c r="E59" s="232">
        <f>'ROI&amp;Efficiency Calculations'!C61</f>
        <v>-6.5703180128434724</v>
      </c>
      <c r="F59" s="232">
        <f>'ROI&amp;Efficiency Calculations'!D61</f>
        <v>-13.56263163218739</v>
      </c>
      <c r="G59" s="232">
        <f>'ROI&amp;Efficiency Calculations'!E61</f>
        <v>-19.493133737638288</v>
      </c>
      <c r="H59" s="232">
        <f>'ROI&amp;Efficiency Calculations'!F61</f>
        <v>-29.719234540595437</v>
      </c>
      <c r="I59" s="232">
        <f>'ROI&amp;Efficiency Calculations'!G61</f>
        <v>-36.667219611095788</v>
      </c>
    </row>
    <row r="61" spans="2:12" ht="15.75" x14ac:dyDescent="0.25">
      <c r="B61" s="284" t="s">
        <v>254</v>
      </c>
      <c r="C61" s="286"/>
      <c r="D61" s="286"/>
      <c r="E61" s="286"/>
      <c r="F61" s="286"/>
      <c r="G61" s="286"/>
      <c r="H61" s="372"/>
      <c r="I61" s="372"/>
    </row>
    <row r="62" spans="2:12" ht="30" x14ac:dyDescent="0.25">
      <c r="B62" s="16"/>
      <c r="C62" s="22"/>
      <c r="D62" s="34" t="s">
        <v>206</v>
      </c>
      <c r="E62" s="20" t="s">
        <v>3</v>
      </c>
      <c r="F62" s="20" t="s">
        <v>4</v>
      </c>
      <c r="G62" s="20" t="s">
        <v>5</v>
      </c>
      <c r="H62" s="20" t="s">
        <v>6</v>
      </c>
      <c r="I62" s="20" t="s">
        <v>7</v>
      </c>
    </row>
    <row r="63" spans="2:12" ht="15.75" x14ac:dyDescent="0.25">
      <c r="B63" s="284" t="s">
        <v>253</v>
      </c>
      <c r="C63" s="286"/>
      <c r="D63" s="286"/>
      <c r="E63" s="286"/>
      <c r="F63" s="286"/>
      <c r="G63" s="286"/>
      <c r="H63" s="372"/>
      <c r="I63" s="372"/>
    </row>
    <row r="64" spans="2:12" ht="15" customHeight="1" x14ac:dyDescent="0.25">
      <c r="B64" s="10" t="s">
        <v>64</v>
      </c>
      <c r="C64" s="10"/>
      <c r="D64" s="84">
        <f t="shared" ref="D64:I64" si="9">D22</f>
        <v>181250</v>
      </c>
      <c r="E64" s="84">
        <f t="shared" si="9"/>
        <v>184875</v>
      </c>
      <c r="F64" s="84">
        <f t="shared" si="9"/>
        <v>219822.5</v>
      </c>
      <c r="G64" s="84">
        <f t="shared" si="9"/>
        <v>256513.95</v>
      </c>
      <c r="H64" s="84">
        <f t="shared" si="9"/>
        <v>0</v>
      </c>
      <c r="I64" s="84">
        <f t="shared" si="9"/>
        <v>0</v>
      </c>
      <c r="J64" s="133"/>
      <c r="K64" s="133"/>
      <c r="L64" s="133"/>
    </row>
    <row r="65" spans="2:12" ht="15" customHeight="1" x14ac:dyDescent="0.25">
      <c r="B65" s="85" t="s">
        <v>66</v>
      </c>
      <c r="C65" s="17"/>
      <c r="D65" s="86">
        <f>'2c. Initiative - Personnel Exp.'!M58</f>
        <v>145000</v>
      </c>
      <c r="E65" s="86">
        <f>'2c. Initiative - Personnel Exp.'!N58</f>
        <v>147900</v>
      </c>
      <c r="F65" s="86">
        <f>'2c. Initiative - Personnel Exp.'!O58</f>
        <v>175858</v>
      </c>
      <c r="G65" s="86">
        <f>'2c. Initiative - Personnel Exp.'!P58</f>
        <v>209375.16</v>
      </c>
      <c r="H65" s="86">
        <f>'2c. Initiative - Personnel Exp.'!Q58</f>
        <v>0</v>
      </c>
      <c r="I65" s="86">
        <f>'2c. Initiative - Personnel Exp.'!R58</f>
        <v>0</v>
      </c>
      <c r="J65" s="133" t="s">
        <v>115</v>
      </c>
      <c r="K65" s="133"/>
      <c r="L65" s="133"/>
    </row>
    <row r="66" spans="2:12" ht="15" customHeight="1" x14ac:dyDescent="0.25">
      <c r="B66" s="85" t="s">
        <v>67</v>
      </c>
      <c r="C66" s="17"/>
      <c r="D66" s="86">
        <f>'2c. Initiative - Personnel Exp.'!M59</f>
        <v>36250</v>
      </c>
      <c r="E66" s="86">
        <f>'2c. Initiative - Personnel Exp.'!N59</f>
        <v>36975</v>
      </c>
      <c r="F66" s="86">
        <f>'2c. Initiative - Personnel Exp.'!O59</f>
        <v>43964.5</v>
      </c>
      <c r="G66" s="86">
        <f>'2c. Initiative - Personnel Exp.'!P59</f>
        <v>47138.79</v>
      </c>
      <c r="H66" s="86">
        <f>'2c. Initiative - Personnel Exp.'!Q59</f>
        <v>0</v>
      </c>
      <c r="I66" s="86">
        <f>'2c. Initiative - Personnel Exp.'!R59</f>
        <v>0</v>
      </c>
      <c r="J66" s="134">
        <f>SUM(D68:G68)</f>
        <v>747041.45</v>
      </c>
      <c r="K66" s="133"/>
      <c r="L66" s="133"/>
    </row>
    <row r="67" spans="2:12" ht="7.5" customHeight="1" x14ac:dyDescent="0.25">
      <c r="B67" s="16"/>
      <c r="C67" s="16"/>
      <c r="D67" s="89"/>
      <c r="E67" s="89"/>
      <c r="F67" s="89"/>
      <c r="G67" s="89"/>
      <c r="H67" s="89"/>
      <c r="I67" s="89"/>
      <c r="J67" s="134">
        <f>SUM(D69:G69)</f>
        <v>95420</v>
      </c>
      <c r="K67" s="133"/>
      <c r="L67" s="133"/>
    </row>
    <row r="68" spans="2:12" ht="15" customHeight="1" x14ac:dyDescent="0.25">
      <c r="B68" s="85" t="s">
        <v>129</v>
      </c>
      <c r="C68" s="67"/>
      <c r="D68" s="86">
        <f>'2c. Initiative - Personnel Exp.'!M35</f>
        <v>181250</v>
      </c>
      <c r="E68" s="86">
        <f>'2c. Initiative - Personnel Exp.'!N35</f>
        <v>184875</v>
      </c>
      <c r="F68" s="86">
        <f>'2c. Initiative - Personnel Exp.'!O35</f>
        <v>188572.5</v>
      </c>
      <c r="G68" s="86">
        <f>'2c. Initiative - Personnel Exp.'!P35</f>
        <v>192343.95</v>
      </c>
      <c r="H68" s="86">
        <f>'2c. Initiative - Personnel Exp.'!Q35</f>
        <v>0</v>
      </c>
      <c r="I68" s="86">
        <f>'2c. Initiative - Personnel Exp.'!R35</f>
        <v>0</v>
      </c>
      <c r="J68" s="133"/>
      <c r="K68" s="133"/>
      <c r="L68" s="133"/>
    </row>
    <row r="69" spans="2:12" ht="15" customHeight="1" x14ac:dyDescent="0.25">
      <c r="B69" s="85" t="s">
        <v>130</v>
      </c>
      <c r="C69" s="18"/>
      <c r="D69" s="87">
        <f>'2c. Initiative - Personnel Exp.'!M54</f>
        <v>0</v>
      </c>
      <c r="E69" s="87">
        <f>'2c. Initiative - Personnel Exp.'!N54</f>
        <v>0</v>
      </c>
      <c r="F69" s="87">
        <f>'2c. Initiative - Personnel Exp.'!O54</f>
        <v>31250</v>
      </c>
      <c r="G69" s="87">
        <f>'2c. Initiative - Personnel Exp.'!P54</f>
        <v>64170</v>
      </c>
      <c r="H69" s="87">
        <f>'2c. Initiative - Personnel Exp.'!Q54</f>
        <v>0</v>
      </c>
      <c r="I69" s="87">
        <f>'2c. Initiative - Personnel Exp.'!R54</f>
        <v>0</v>
      </c>
      <c r="J69" s="133"/>
      <c r="K69" s="133"/>
      <c r="L69" s="133"/>
    </row>
    <row r="70" spans="2:12" ht="7.5" customHeight="1" x14ac:dyDescent="0.25">
      <c r="B70" s="80"/>
      <c r="C70" s="69"/>
      <c r="D70" s="89"/>
      <c r="E70" s="89"/>
      <c r="F70" s="89"/>
      <c r="G70" s="89"/>
      <c r="H70" s="89"/>
      <c r="I70" s="89"/>
      <c r="J70" s="134">
        <f>SUM(D72:G72)</f>
        <v>494592.96</v>
      </c>
      <c r="K70" s="133"/>
      <c r="L70" s="133"/>
    </row>
    <row r="71" spans="2:12" ht="15" customHeight="1" x14ac:dyDescent="0.25">
      <c r="B71" s="10" t="s">
        <v>65</v>
      </c>
      <c r="C71" s="10"/>
      <c r="D71" s="84">
        <f t="shared" ref="D71:I71" si="10">D23</f>
        <v>135000</v>
      </c>
      <c r="E71" s="84">
        <f t="shared" si="10"/>
        <v>137700</v>
      </c>
      <c r="F71" s="84">
        <f t="shared" si="10"/>
        <v>140454</v>
      </c>
      <c r="G71" s="84">
        <f t="shared" si="10"/>
        <v>143263.07999999999</v>
      </c>
      <c r="H71" s="84">
        <f t="shared" si="10"/>
        <v>146128.34160000001</v>
      </c>
      <c r="I71" s="84">
        <f t="shared" si="10"/>
        <v>149050.908432</v>
      </c>
      <c r="J71" s="134">
        <f>SUM(D73:G73)</f>
        <v>41216.080000000002</v>
      </c>
      <c r="K71" s="133"/>
      <c r="L71" s="133"/>
    </row>
    <row r="72" spans="2:12" ht="15" customHeight="1" x14ac:dyDescent="0.25">
      <c r="B72" s="85" t="s">
        <v>111</v>
      </c>
      <c r="C72" s="67"/>
      <c r="D72" s="86">
        <f>'2d. Initiative - Operating Exp.'!D21</f>
        <v>120000</v>
      </c>
      <c r="E72" s="86">
        <f>'2d. Initiative - Operating Exp.'!E21</f>
        <v>122400</v>
      </c>
      <c r="F72" s="86">
        <f>'2d. Initiative - Operating Exp.'!F21</f>
        <v>124848</v>
      </c>
      <c r="G72" s="86">
        <f>'2d. Initiative - Operating Exp.'!G21</f>
        <v>127344.96000000001</v>
      </c>
      <c r="H72" s="86">
        <f>'2d. Initiative - Operating Exp.'!H21</f>
        <v>129891.85920000001</v>
      </c>
      <c r="I72" s="86">
        <f>'2d. Initiative - Operating Exp.'!I21</f>
        <v>132489.69638400001</v>
      </c>
      <c r="J72" s="134">
        <f>SUM(D74:G74)</f>
        <v>20608.04</v>
      </c>
      <c r="K72" s="134">
        <f>SUM(J66:J72)</f>
        <v>1398878.53</v>
      </c>
      <c r="L72" s="133"/>
    </row>
    <row r="73" spans="2:12" ht="15" customHeight="1" x14ac:dyDescent="0.25">
      <c r="B73" s="85" t="s">
        <v>112</v>
      </c>
      <c r="C73" s="67"/>
      <c r="D73" s="86">
        <f>SUM('2d. Initiative - Operating Exp.'!D24:D29,'2d. Initiative - Operating Exp.'!D32:D34)</f>
        <v>10000</v>
      </c>
      <c r="E73" s="86">
        <f>SUM('2d. Initiative - Operating Exp.'!E24:E29,'2d. Initiative - Operating Exp.'!E32:E34)</f>
        <v>10200</v>
      </c>
      <c r="F73" s="86">
        <f>SUM('2d. Initiative - Operating Exp.'!F24:F29,'2d. Initiative - Operating Exp.'!F32:F34)</f>
        <v>10404</v>
      </c>
      <c r="G73" s="86">
        <f>SUM('2d. Initiative - Operating Exp.'!G24:G29,'2d. Initiative - Operating Exp.'!G32:G34)</f>
        <v>10612.08</v>
      </c>
      <c r="H73" s="86">
        <f>SUM('2d. Initiative - Operating Exp.'!H24:H29,'2d. Initiative - Operating Exp.'!H32:H34)</f>
        <v>10824.321599999999</v>
      </c>
      <c r="I73" s="86">
        <f>SUM('2d. Initiative - Operating Exp.'!I24:I29,'2d. Initiative - Operating Exp.'!I32:I34)</f>
        <v>11040.808031999999</v>
      </c>
      <c r="J73" s="133">
        <f>IF(K72&gt;0,0,IF(K72&gt;0,NA(),100))</f>
        <v>0</v>
      </c>
      <c r="K73" s="133"/>
      <c r="L73" s="133"/>
    </row>
    <row r="74" spans="2:12" ht="15" customHeight="1" x14ac:dyDescent="0.25">
      <c r="B74" s="85" t="s">
        <v>113</v>
      </c>
      <c r="C74" s="67"/>
      <c r="D74" s="86">
        <f>SUM('2d. Initiative - Operating Exp.'!D15:D18,'2d. Initiative - Operating Exp.'!D37:D39,'2d. Initiative - Operating Exp.'!D41)</f>
        <v>5000</v>
      </c>
      <c r="E74" s="86">
        <f>SUM('2d. Initiative - Operating Exp.'!E15:E18,'2d. Initiative - Operating Exp.'!E37:E39,'2d. Initiative - Operating Exp.'!E41)</f>
        <v>5100</v>
      </c>
      <c r="F74" s="86">
        <f>SUM('2d. Initiative - Operating Exp.'!F15:F18,'2d. Initiative - Operating Exp.'!F37:F39,'2d. Initiative - Operating Exp.'!F41)</f>
        <v>5202</v>
      </c>
      <c r="G74" s="86">
        <f>SUM('2d. Initiative - Operating Exp.'!G15:G18,'2d. Initiative - Operating Exp.'!G37:G39,'2d. Initiative - Operating Exp.'!G41)</f>
        <v>5306.04</v>
      </c>
      <c r="H74" s="86">
        <f>SUM('2d. Initiative - Operating Exp.'!H15:H18,'2d. Initiative - Operating Exp.'!H37:H39,'2d. Initiative - Operating Exp.'!H41)</f>
        <v>5412.1607999999997</v>
      </c>
      <c r="I74" s="86">
        <f>SUM('2d. Initiative - Operating Exp.'!I15:I18,'2d. Initiative - Operating Exp.'!I37:I39,'2d. Initiative - Operating Exp.'!I41)</f>
        <v>5520.4040159999995</v>
      </c>
    </row>
    <row r="75" spans="2:12" ht="15" customHeight="1" x14ac:dyDescent="0.25">
      <c r="B75" s="31"/>
      <c r="C75" s="65"/>
      <c r="D75" s="79"/>
      <c r="E75" s="79"/>
      <c r="F75" s="79"/>
      <c r="G75" s="79"/>
      <c r="H75" s="79"/>
    </row>
    <row r="76" spans="2:12" ht="15.75" x14ac:dyDescent="0.25">
      <c r="B76" s="284" t="s">
        <v>68</v>
      </c>
      <c r="C76" s="286"/>
      <c r="D76" s="286"/>
      <c r="E76" s="286"/>
      <c r="F76" s="286"/>
      <c r="G76" s="286"/>
      <c r="H76" s="372"/>
      <c r="I76" s="372"/>
    </row>
    <row r="77" spans="2:12" x14ac:dyDescent="0.25">
      <c r="B77" s="17" t="s">
        <v>137</v>
      </c>
      <c r="C77" s="17"/>
      <c r="D77" s="126"/>
      <c r="E77" s="67">
        <f>E25/'2a. Initiative - Desc. &amp; Enrl.'!E31</f>
        <v>80.643749999999997</v>
      </c>
      <c r="F77" s="67">
        <f>F25/'2a. Initiative - Desc. &amp; Enrl.'!F31</f>
        <v>90.069125</v>
      </c>
      <c r="G77" s="67">
        <f>G25/'2a. Initiative - Desc. &amp; Enrl.'!G31</f>
        <v>88.839340000000007</v>
      </c>
      <c r="H77" s="67" t="e">
        <f>H25/'2a. Initiative - Desc. &amp; Enrl.'!H31</f>
        <v>#DIV/0!</v>
      </c>
      <c r="I77" s="67" t="e">
        <f>I25/'2a. Initiative - Desc. &amp; Enrl.'!I31</f>
        <v>#DIV/0!</v>
      </c>
    </row>
    <row r="78" spans="2:12" x14ac:dyDescent="0.25">
      <c r="B78" s="17" t="s">
        <v>69</v>
      </c>
      <c r="C78" s="17"/>
      <c r="D78" s="69"/>
      <c r="E78" s="67">
        <f>E25/'2a. Initiative - Desc. &amp; Enrl.'!E29</f>
        <v>32.2575</v>
      </c>
      <c r="F78" s="67">
        <f>F25/'2a. Initiative - Desc. &amp; Enrl.'!F29</f>
        <v>35.670940594059402</v>
      </c>
      <c r="G78" s="67">
        <f>G25/'2a. Initiative - Desc. &amp; Enrl.'!G29</f>
        <v>39.18998431526321</v>
      </c>
      <c r="H78" s="67" t="e">
        <f>H25/'2a. Initiative - Desc. &amp; Enrl.'!H29</f>
        <v>#DIV/0!</v>
      </c>
      <c r="I78" s="67" t="e">
        <f>I25/'2a. Initiative - Desc. &amp; Enrl.'!I29</f>
        <v>#DIV/0!</v>
      </c>
    </row>
    <row r="79" spans="2:12" x14ac:dyDescent="0.25">
      <c r="B79" s="17" t="s">
        <v>70</v>
      </c>
      <c r="C79" s="17"/>
      <c r="D79" s="69"/>
      <c r="E79" s="67">
        <f>E25/'2a. Initiative - Desc. &amp; Enrl.'!E27</f>
        <v>21.55796072351076</v>
      </c>
      <c r="F79" s="67">
        <f>F25/'2a. Initiative - Desc. &amp; Enrl.'!F27</f>
        <v>23.839192011080158</v>
      </c>
      <c r="G79" s="67">
        <f>G25/'2a. Initiative - Desc. &amp; Enrl.'!G27</f>
        <v>26.190998763805226</v>
      </c>
      <c r="H79" s="67" t="e">
        <f>H25/'2a. Initiative - Desc. &amp; Enrl.'!H27</f>
        <v>#DIV/0!</v>
      </c>
      <c r="I79" s="67" t="e">
        <f>I25/'2a. Initiative - Desc. &amp; Enrl.'!I27</f>
        <v>#DIV/0!</v>
      </c>
    </row>
    <row r="81" spans="2:9" ht="15.75" x14ac:dyDescent="0.25">
      <c r="B81" s="284" t="s">
        <v>122</v>
      </c>
      <c r="C81" s="286"/>
      <c r="D81" s="286"/>
      <c r="E81" s="286"/>
      <c r="F81" s="286"/>
      <c r="G81" s="286"/>
      <c r="H81" s="372"/>
      <c r="I81" s="372"/>
    </row>
    <row r="82" spans="2:9" ht="30" x14ac:dyDescent="0.25">
      <c r="B82" s="16"/>
      <c r="C82" s="22"/>
      <c r="D82" s="34" t="s">
        <v>209</v>
      </c>
      <c r="E82" s="20" t="s">
        <v>3</v>
      </c>
      <c r="F82" s="20" t="s">
        <v>4</v>
      </c>
      <c r="G82" s="20" t="s">
        <v>5</v>
      </c>
      <c r="H82" s="20" t="s">
        <v>6</v>
      </c>
      <c r="I82" s="20" t="s">
        <v>7</v>
      </c>
    </row>
    <row r="83" spans="2:9" x14ac:dyDescent="0.25">
      <c r="B83" s="17" t="s">
        <v>138</v>
      </c>
      <c r="C83" s="17"/>
      <c r="D83" s="127"/>
      <c r="E83" s="88">
        <f>'2a. Initiative - Desc. &amp; Enrl.'!E31/'2a. Initiative - Desc. &amp; Enrl.'!E29</f>
        <v>0.4</v>
      </c>
      <c r="F83" s="88">
        <f>'2a. Initiative - Desc. &amp; Enrl.'!F31/'2a. Initiative - Desc. &amp; Enrl.'!F29</f>
        <v>0.39603960396039606</v>
      </c>
      <c r="G83" s="88">
        <f>'2a. Initiative - Desc. &amp; Enrl.'!G31/'2a. Initiative - Desc. &amp; Enrl.'!G29</f>
        <v>0.44113322223311441</v>
      </c>
      <c r="H83" s="88" t="e">
        <f>'2a. Initiative - Desc. &amp; Enrl.'!H31/'2a. Initiative - Desc. &amp; Enrl.'!H29</f>
        <v>#DIV/0!</v>
      </c>
      <c r="I83" s="88" t="e">
        <f>'2a. Initiative - Desc. &amp; Enrl.'!I31/'2a. Initiative - Desc. &amp; Enrl.'!I29</f>
        <v>#DIV/0!</v>
      </c>
    </row>
    <row r="84" spans="2:9" x14ac:dyDescent="0.25">
      <c r="B84" s="17" t="s">
        <v>139</v>
      </c>
      <c r="C84" s="17"/>
      <c r="D84" s="127"/>
      <c r="E84" s="88">
        <f>'2a. Initiative - Desc. &amp; Enrl.'!E31/'2a. Initiative - Desc. &amp; Enrl.'!E27</f>
        <v>0.26732339113087822</v>
      </c>
      <c r="F84" s="88">
        <f>'2a. Initiative - Desc. &amp; Enrl.'!F31/'2a. Initiative - Desc. &amp; Enrl.'!F27</f>
        <v>0.26467662488205762</v>
      </c>
      <c r="G84" s="88">
        <f>'2a. Initiative - Desc. &amp; Enrl.'!G31/'2a. Initiative - Desc. &amp; Enrl.'!G27</f>
        <v>0.29481307226961867</v>
      </c>
      <c r="H84" s="88" t="e">
        <f>'2a. Initiative - Desc. &amp; Enrl.'!H31/'2a. Initiative - Desc. &amp; Enrl.'!H27</f>
        <v>#DIV/0!</v>
      </c>
      <c r="I84" s="88" t="e">
        <f>'2a. Initiative - Desc. &amp; Enrl.'!I31/'2a. Initiative - Desc. &amp; Enrl.'!I27</f>
        <v>#DIV/0!</v>
      </c>
    </row>
    <row r="85" spans="2:9" x14ac:dyDescent="0.25">
      <c r="B85" s="17" t="s">
        <v>140</v>
      </c>
      <c r="C85" s="17"/>
      <c r="D85" s="127"/>
      <c r="E85" s="88">
        <f>'2a. Initiative - Desc. &amp; Enrl.'!E29/'2a. Initiative - Desc. &amp; Enrl.'!E27</f>
        <v>0.66830847782719549</v>
      </c>
      <c r="F85" s="88">
        <f>'2a. Initiative - Desc. &amp; Enrl.'!F29/'2a. Initiative - Desc. &amp; Enrl.'!F27</f>
        <v>0.66830847782719549</v>
      </c>
      <c r="G85" s="88">
        <f>'2a. Initiative - Desc. &amp; Enrl.'!G29/'2a. Initiative - Desc. &amp; Enrl.'!G27</f>
        <v>0.66830847782719549</v>
      </c>
      <c r="H85" s="88" t="e">
        <f>'2a. Initiative - Desc. &amp; Enrl.'!H29/'2a. Initiative - Desc. &amp; Enrl.'!H27</f>
        <v>#DIV/0!</v>
      </c>
      <c r="I85" s="88" t="e">
        <f>'2a. Initiative - Desc. &amp; Enrl.'!I29/'2a. Initiative - Desc. &amp; Enrl.'!I27</f>
        <v>#DIV/0!</v>
      </c>
    </row>
    <row r="88" spans="2:9" x14ac:dyDescent="0.25">
      <c r="D88" s="65"/>
      <c r="E88" s="65"/>
      <c r="F88" s="65"/>
      <c r="G88" s="65"/>
    </row>
    <row r="89" spans="2:9" x14ac:dyDescent="0.25">
      <c r="D89" s="205"/>
      <c r="E89" s="205"/>
      <c r="F89" s="205"/>
      <c r="G89" s="205"/>
    </row>
  </sheetData>
  <sheetProtection algorithmName="SHA-512" hashValue="abX2ZQP8O1wFsGTCJjfHRqLx5ATDsolNaHYAuVMRPlL5fMZn8pp28ZFzf1Ie2rsPUPPecYOKm7yomnAMWroJiQ==" saltValue="pbcaQvCjowqhj9//iJrq4Q==" spinCount="100000" sheet="1" objects="1" scenarios="1"/>
  <mergeCells count="3">
    <mergeCell ref="C4:E4"/>
    <mergeCell ref="C5:E5"/>
    <mergeCell ref="B50:C5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41100"/>
  </sheetPr>
  <dimension ref="A1:Z85"/>
  <sheetViews>
    <sheetView workbookViewId="0"/>
  </sheetViews>
  <sheetFormatPr defaultColWidth="9.140625" defaultRowHeight="15" x14ac:dyDescent="0.25"/>
  <cols>
    <col min="1" max="1" width="1.7109375" style="3" customWidth="1"/>
    <col min="2" max="2" width="10.7109375" style="3" customWidth="1"/>
    <col min="3" max="3" width="73.7109375" style="3" customWidth="1"/>
    <col min="4" max="7" width="14.7109375" style="3" customWidth="1"/>
    <col min="8" max="9" width="14.7109375" style="3" hidden="1" customWidth="1"/>
    <col min="10" max="10" width="17.42578125" style="31" customWidth="1"/>
    <col min="11" max="11" width="25.28515625" style="3" customWidth="1"/>
    <col min="12" max="12" width="43.7109375" style="3" customWidth="1"/>
    <col min="13" max="23" width="11" style="3" customWidth="1"/>
    <col min="24" max="24" width="10.7109375" style="3" bestFit="1" customWidth="1"/>
    <col min="25" max="26" width="10" style="3" bestFit="1" customWidth="1"/>
    <col min="27" max="27" width="11.85546875" style="3" bestFit="1" customWidth="1"/>
    <col min="28" max="28" width="10.7109375" style="3" bestFit="1" customWidth="1"/>
    <col min="29" max="16384" width="9.140625" style="3"/>
  </cols>
  <sheetData>
    <row r="1" spans="1:12" ht="18.75" x14ac:dyDescent="0.3">
      <c r="A1" s="4" t="str">
        <f>'2a. Initiative - Desc. &amp; Enrl.'!A1</f>
        <v>EDUCAUSE Student Success Initiative Financial Model</v>
      </c>
      <c r="C1" s="4"/>
      <c r="D1" s="4"/>
      <c r="E1" s="4"/>
    </row>
    <row r="2" spans="1:12" ht="18.75" x14ac:dyDescent="0.3">
      <c r="A2" s="4" t="str">
        <f>'2a. Initiative - Desc. &amp; Enrl.'!A2</f>
        <v>Developed by rpk GROUP, 2018 (v. 2.3). All rights reserved.</v>
      </c>
      <c r="C2" s="4"/>
      <c r="D2" s="4"/>
      <c r="E2" s="4"/>
    </row>
    <row r="3" spans="1:12" ht="18.75" x14ac:dyDescent="0.3">
      <c r="B3" s="4"/>
      <c r="C3" s="4"/>
      <c r="D3" s="4"/>
      <c r="E3" s="4"/>
    </row>
    <row r="4" spans="1:12" ht="15.75" x14ac:dyDescent="0.25">
      <c r="B4" s="7" t="s">
        <v>1</v>
      </c>
      <c r="C4" s="412" t="str">
        <f>'1. Institution-wide Data'!$B$4</f>
        <v>University of X</v>
      </c>
      <c r="D4" s="413"/>
      <c r="E4" s="414"/>
    </row>
    <row r="5" spans="1:12" ht="15.75" x14ac:dyDescent="0.25">
      <c r="B5" s="7" t="s">
        <v>0</v>
      </c>
      <c r="C5" s="415" t="str">
        <f>'1. Institution-wide Data'!$B$5</f>
        <v>Invest in Advising Technology</v>
      </c>
      <c r="D5" s="416"/>
      <c r="E5" s="417"/>
    </row>
    <row r="7" spans="1:12" x14ac:dyDescent="0.25">
      <c r="B7" s="14" t="s">
        <v>71</v>
      </c>
      <c r="C7" s="14"/>
      <c r="D7" s="14"/>
      <c r="E7" s="14"/>
      <c r="F7" s="14"/>
      <c r="G7" s="14"/>
      <c r="H7" s="14"/>
      <c r="I7" s="14"/>
      <c r="J7" s="6"/>
      <c r="K7" s="6"/>
      <c r="L7" s="6"/>
    </row>
    <row r="9" spans="1:12" ht="15.75" x14ac:dyDescent="0.25">
      <c r="B9" s="284" t="s">
        <v>114</v>
      </c>
      <c r="C9" s="285"/>
      <c r="D9" s="286"/>
      <c r="E9" s="286"/>
      <c r="F9" s="286"/>
      <c r="G9" s="286"/>
      <c r="H9" s="372"/>
      <c r="I9" s="372"/>
    </row>
    <row r="10" spans="1:12" x14ac:dyDescent="0.25">
      <c r="B10" s="16"/>
      <c r="C10" s="16"/>
      <c r="D10" s="16"/>
      <c r="E10" s="16"/>
      <c r="F10" s="16"/>
      <c r="G10" s="16"/>
      <c r="H10" s="16"/>
      <c r="I10" s="16"/>
    </row>
    <row r="11" spans="1:12" ht="30" x14ac:dyDescent="0.25">
      <c r="B11" s="16"/>
      <c r="C11" s="22"/>
      <c r="D11" s="34" t="s">
        <v>206</v>
      </c>
      <c r="E11" s="20" t="s">
        <v>3</v>
      </c>
      <c r="F11" s="20" t="s">
        <v>4</v>
      </c>
      <c r="G11" s="20" t="s">
        <v>5</v>
      </c>
      <c r="H11" s="20" t="s">
        <v>6</v>
      </c>
      <c r="I11" s="20" t="s">
        <v>7</v>
      </c>
    </row>
    <row r="12" spans="1:12" ht="15.75" x14ac:dyDescent="0.25">
      <c r="B12" s="284" t="s">
        <v>226</v>
      </c>
      <c r="C12" s="315"/>
      <c r="D12" s="286"/>
      <c r="E12" s="286"/>
      <c r="F12" s="286"/>
      <c r="G12" s="286"/>
      <c r="H12" s="372"/>
      <c r="I12" s="372"/>
    </row>
    <row r="13" spans="1:12" x14ac:dyDescent="0.25">
      <c r="B13" s="17" t="s">
        <v>60</v>
      </c>
      <c r="C13" s="17"/>
      <c r="D13" s="67">
        <f>'Dashboard Data'!D13</f>
        <v>158750</v>
      </c>
      <c r="E13" s="67">
        <f>'Dashboard Data'!E13</f>
        <v>140125</v>
      </c>
      <c r="F13" s="67">
        <f>'Dashboard Data'!F13</f>
        <v>121527.5</v>
      </c>
      <c r="G13" s="67">
        <f>'Dashboard Data'!G13</f>
        <v>102958.04999999999</v>
      </c>
      <c r="H13" s="67">
        <f>'Dashboard Data'!H13</f>
        <v>0</v>
      </c>
      <c r="I13" s="67">
        <f>'Dashboard Data'!I13</f>
        <v>0</v>
      </c>
    </row>
    <row r="14" spans="1:12" x14ac:dyDescent="0.25">
      <c r="B14" s="39" t="s">
        <v>132</v>
      </c>
      <c r="C14" s="17"/>
      <c r="D14" s="67">
        <f>'Dashboard Data'!D14</f>
        <v>0</v>
      </c>
      <c r="E14" s="67">
        <f>'Dashboard Data'!E14</f>
        <v>0</v>
      </c>
      <c r="F14" s="67">
        <f>'Dashboard Data'!F14</f>
        <v>0</v>
      </c>
      <c r="G14" s="67">
        <f>'Dashboard Data'!G14</f>
        <v>0</v>
      </c>
      <c r="H14" s="67">
        <f>'Dashboard Data'!H14</f>
        <v>0</v>
      </c>
      <c r="I14" s="67">
        <f>'Dashboard Data'!I14</f>
        <v>0</v>
      </c>
    </row>
    <row r="15" spans="1:12" x14ac:dyDescent="0.25">
      <c r="B15" s="17" t="s">
        <v>227</v>
      </c>
      <c r="C15" s="17"/>
      <c r="D15" s="67">
        <f>'Dashboard Data'!D15</f>
        <v>100000</v>
      </c>
      <c r="E15" s="67">
        <f>'Dashboard Data'!E15</f>
        <v>100000</v>
      </c>
      <c r="F15" s="67">
        <f>'Dashboard Data'!F15</f>
        <v>100000</v>
      </c>
      <c r="G15" s="67">
        <f>'Dashboard Data'!G15</f>
        <v>100000</v>
      </c>
      <c r="H15" s="67">
        <f>'Dashboard Data'!H15</f>
        <v>100000</v>
      </c>
      <c r="I15" s="67">
        <f>'Dashboard Data'!I15</f>
        <v>100000</v>
      </c>
    </row>
    <row r="16" spans="1:12" x14ac:dyDescent="0.25">
      <c r="B16" s="17" t="s">
        <v>228</v>
      </c>
      <c r="C16" s="17"/>
      <c r="D16" s="67">
        <f>'Dashboard Data'!D16</f>
        <v>0</v>
      </c>
      <c r="E16" s="67">
        <f>'Dashboard Data'!E16</f>
        <v>0</v>
      </c>
      <c r="F16" s="67">
        <f>'Dashboard Data'!F16</f>
        <v>0</v>
      </c>
      <c r="G16" s="67">
        <f>'Dashboard Data'!G16</f>
        <v>0</v>
      </c>
      <c r="H16" s="67">
        <f>'Dashboard Data'!H16</f>
        <v>0</v>
      </c>
      <c r="I16" s="67">
        <f>'Dashboard Data'!I16</f>
        <v>0</v>
      </c>
    </row>
    <row r="17" spans="2:26" x14ac:dyDescent="0.25">
      <c r="B17" s="22"/>
      <c r="C17" s="16"/>
      <c r="D17" s="69"/>
      <c r="E17" s="69"/>
      <c r="F17" s="69"/>
      <c r="G17" s="69"/>
      <c r="H17" s="69"/>
      <c r="I17" s="69"/>
    </row>
    <row r="18" spans="2:26" x14ac:dyDescent="0.25">
      <c r="B18" s="283" t="s">
        <v>229</v>
      </c>
      <c r="C18" s="283"/>
      <c r="D18" s="289">
        <f>'Dashboard Data'!D18</f>
        <v>258750</v>
      </c>
      <c r="E18" s="289">
        <f>'Dashboard Data'!E18</f>
        <v>240125</v>
      </c>
      <c r="F18" s="289">
        <f>'Dashboard Data'!F18</f>
        <v>221527.5</v>
      </c>
      <c r="G18" s="289">
        <f>'Dashboard Data'!G18</f>
        <v>202958.05</v>
      </c>
      <c r="H18" s="289">
        <f>'Dashboard Data'!H18</f>
        <v>100000</v>
      </c>
      <c r="I18" s="289">
        <f>'Dashboard Data'!I18</f>
        <v>100000</v>
      </c>
      <c r="J18" s="288" t="s">
        <v>181</v>
      </c>
      <c r="K18" s="290" t="s">
        <v>258</v>
      </c>
    </row>
    <row r="19" spans="2:26" x14ac:dyDescent="0.25">
      <c r="B19" s="16"/>
      <c r="C19" s="16"/>
      <c r="D19" s="23"/>
      <c r="E19" s="23"/>
      <c r="F19" s="23"/>
      <c r="G19" s="23"/>
      <c r="H19" s="23"/>
      <c r="I19" s="23"/>
    </row>
    <row r="20" spans="2:26" ht="15.75" x14ac:dyDescent="0.25">
      <c r="B20" s="284" t="s">
        <v>117</v>
      </c>
      <c r="C20" s="285"/>
      <c r="D20" s="286"/>
      <c r="E20" s="286"/>
      <c r="F20" s="286"/>
      <c r="G20" s="286"/>
      <c r="H20" s="372"/>
      <c r="I20" s="372"/>
    </row>
    <row r="21" spans="2:26" x14ac:dyDescent="0.25">
      <c r="B21" s="17" t="s">
        <v>133</v>
      </c>
      <c r="C21" s="17"/>
      <c r="D21" s="17"/>
      <c r="E21" s="17"/>
      <c r="F21" s="17"/>
      <c r="G21" s="17"/>
      <c r="H21" s="17"/>
      <c r="I21" s="17"/>
    </row>
    <row r="22" spans="2:26" x14ac:dyDescent="0.25">
      <c r="B22" s="49" t="s">
        <v>134</v>
      </c>
      <c r="C22" s="17"/>
      <c r="D22" s="67">
        <f>'Dashboard Data'!D22</f>
        <v>181250</v>
      </c>
      <c r="E22" s="67">
        <f>'Dashboard Data'!E22</f>
        <v>184875</v>
      </c>
      <c r="F22" s="67">
        <f>'Dashboard Data'!F22</f>
        <v>219822.5</v>
      </c>
      <c r="G22" s="67">
        <f>'Dashboard Data'!G22</f>
        <v>256513.95</v>
      </c>
      <c r="H22" s="67">
        <f>'Dashboard Data'!H22</f>
        <v>0</v>
      </c>
      <c r="I22" s="67">
        <f>'Dashboard Data'!I22</f>
        <v>0</v>
      </c>
    </row>
    <row r="23" spans="2:26" x14ac:dyDescent="0.25">
      <c r="B23" s="49" t="s">
        <v>135</v>
      </c>
      <c r="C23" s="17"/>
      <c r="D23" s="67">
        <f>'Dashboard Data'!D23</f>
        <v>135000</v>
      </c>
      <c r="E23" s="67">
        <f>'Dashboard Data'!E23</f>
        <v>137700</v>
      </c>
      <c r="F23" s="67">
        <f>'Dashboard Data'!F23</f>
        <v>140454</v>
      </c>
      <c r="G23" s="67">
        <f>'Dashboard Data'!G23</f>
        <v>143263.07999999999</v>
      </c>
      <c r="H23" s="67">
        <f>'Dashboard Data'!H23</f>
        <v>146128.34160000001</v>
      </c>
      <c r="I23" s="67">
        <f>'Dashboard Data'!I23</f>
        <v>149050.908432</v>
      </c>
    </row>
    <row r="24" spans="2:26" x14ac:dyDescent="0.25">
      <c r="B24" s="16"/>
      <c r="C24" s="16"/>
      <c r="D24" s="23"/>
      <c r="E24" s="23"/>
      <c r="F24" s="23"/>
      <c r="G24" s="23"/>
      <c r="H24" s="23"/>
      <c r="I24" s="23"/>
    </row>
    <row r="25" spans="2:26" x14ac:dyDescent="0.25">
      <c r="B25" s="283" t="s">
        <v>61</v>
      </c>
      <c r="C25" s="283"/>
      <c r="D25" s="291">
        <f>'Dashboard Data'!D25</f>
        <v>316250</v>
      </c>
      <c r="E25" s="291">
        <f>'Dashboard Data'!E25</f>
        <v>322575</v>
      </c>
      <c r="F25" s="291">
        <f>'Dashboard Data'!F25</f>
        <v>360276.5</v>
      </c>
      <c r="G25" s="291">
        <f>'Dashboard Data'!G25</f>
        <v>399777.03</v>
      </c>
      <c r="H25" s="291">
        <f>'Dashboard Data'!H25</f>
        <v>146128.34160000001</v>
      </c>
      <c r="I25" s="291">
        <f>'Dashboard Data'!I25</f>
        <v>149050.908432</v>
      </c>
      <c r="J25" s="288" t="s">
        <v>181</v>
      </c>
      <c r="K25" s="290" t="s">
        <v>258</v>
      </c>
    </row>
    <row r="26" spans="2:26" x14ac:dyDescent="0.25">
      <c r="B26" s="272" t="s">
        <v>349</v>
      </c>
      <c r="C26" s="19"/>
      <c r="D26" s="270">
        <f>'Dashboard Data'!D26</f>
        <v>316250</v>
      </c>
      <c r="E26" s="270">
        <f>'Dashboard Data'!E26</f>
        <v>638825</v>
      </c>
      <c r="F26" s="270">
        <f>'Dashboard Data'!F26</f>
        <v>999101.5</v>
      </c>
      <c r="G26" s="270">
        <f>'Dashboard Data'!G26</f>
        <v>1398878.53</v>
      </c>
      <c r="H26" s="270">
        <f>'Dashboard Data'!H26</f>
        <v>1545006.8716</v>
      </c>
      <c r="I26" s="270">
        <f>'Dashboard Data'!I26</f>
        <v>1694057.780032</v>
      </c>
      <c r="K26" s="290"/>
    </row>
    <row r="27" spans="2:26" x14ac:dyDescent="0.25">
      <c r="B27" s="16"/>
      <c r="C27" s="16"/>
      <c r="D27" s="23"/>
      <c r="E27" s="23"/>
      <c r="F27" s="23"/>
      <c r="G27" s="23"/>
      <c r="H27" s="23"/>
      <c r="I27" s="23"/>
    </row>
    <row r="28" spans="2:26" x14ac:dyDescent="0.25">
      <c r="B28" s="19" t="s">
        <v>230</v>
      </c>
      <c r="C28" s="10"/>
      <c r="D28" s="83">
        <f>'Dashboard Data'!D28</f>
        <v>-57500</v>
      </c>
      <c r="E28" s="83">
        <f>'Dashboard Data'!E28</f>
        <v>-82450</v>
      </c>
      <c r="F28" s="83">
        <f>'Dashboard Data'!F28</f>
        <v>-138749</v>
      </c>
      <c r="G28" s="83">
        <f>'Dashboard Data'!G28</f>
        <v>-196818.98000000004</v>
      </c>
      <c r="H28" s="83">
        <f>'Dashboard Data'!H28</f>
        <v>-46128.341600000014</v>
      </c>
      <c r="I28" s="83">
        <f>'Dashboard Data'!I28</f>
        <v>-49050.908431999997</v>
      </c>
    </row>
    <row r="29" spans="2:26" x14ac:dyDescent="0.25">
      <c r="B29" s="16"/>
      <c r="C29" s="16"/>
      <c r="D29" s="23"/>
      <c r="E29" s="23"/>
      <c r="F29" s="23"/>
      <c r="G29" s="23"/>
      <c r="H29" s="23"/>
      <c r="I29" s="23"/>
    </row>
    <row r="30" spans="2:26" x14ac:dyDescent="0.25">
      <c r="B30" s="128" t="s">
        <v>231</v>
      </c>
      <c r="C30" s="129"/>
      <c r="D30" s="130">
        <f>'Dashboard Data'!D30</f>
        <v>-57500</v>
      </c>
      <c r="E30" s="130">
        <f>'Dashboard Data'!E30</f>
        <v>-139950</v>
      </c>
      <c r="F30" s="130">
        <f>'Dashboard Data'!F30</f>
        <v>-278699</v>
      </c>
      <c r="G30" s="130">
        <f>'Dashboard Data'!G30</f>
        <v>-475517.98000000004</v>
      </c>
      <c r="H30" s="130">
        <f>'Dashboard Data'!H30</f>
        <v>-521646.32160000002</v>
      </c>
      <c r="I30" s="130">
        <f>'Dashboard Data'!I30</f>
        <v>-570697.23003199999</v>
      </c>
    </row>
    <row r="31" spans="2:26" x14ac:dyDescent="0.25">
      <c r="B31" s="16"/>
      <c r="C31" s="16"/>
      <c r="D31" s="23"/>
      <c r="E31" s="23"/>
      <c r="F31" s="23"/>
      <c r="G31" s="23"/>
      <c r="H31" s="23"/>
      <c r="I31" s="23"/>
      <c r="Z31" s="65" t="e">
        <f>'Dashboard Data - Graph Data'!E18:G18</f>
        <v>#VALUE!</v>
      </c>
    </row>
    <row r="32" spans="2:26" x14ac:dyDescent="0.25">
      <c r="B32" s="39" t="s">
        <v>136</v>
      </c>
      <c r="C32" s="17"/>
      <c r="D32" s="67">
        <f>'Dashboard Data'!D32</f>
        <v>79062.5</v>
      </c>
      <c r="E32" s="67">
        <f>'Dashboard Data'!E32</f>
        <v>80643.75</v>
      </c>
      <c r="F32" s="67">
        <f>'Dashboard Data'!F32</f>
        <v>90069.125</v>
      </c>
      <c r="G32" s="67">
        <f>'Dashboard Data'!G32</f>
        <v>99944.257500000007</v>
      </c>
      <c r="H32" s="67">
        <f>'Dashboard Data'!H32</f>
        <v>36532.085400000004</v>
      </c>
      <c r="I32" s="67">
        <f>'Dashboard Data'!I32</f>
        <v>37262.727107999999</v>
      </c>
    </row>
    <row r="33" spans="2:24" x14ac:dyDescent="0.25">
      <c r="B33" s="16"/>
      <c r="C33" s="16"/>
      <c r="D33" s="23"/>
      <c r="E33" s="23"/>
      <c r="F33" s="23"/>
      <c r="G33" s="23"/>
      <c r="H33" s="23"/>
      <c r="I33" s="23"/>
    </row>
    <row r="34" spans="2:24" x14ac:dyDescent="0.25">
      <c r="B34" s="19" t="s">
        <v>232</v>
      </c>
      <c r="C34" s="17"/>
      <c r="D34" s="83">
        <f>'Dashboard Data'!D34</f>
        <v>-136562.5</v>
      </c>
      <c r="E34" s="83">
        <f>'Dashboard Data'!E34</f>
        <v>-163093.75</v>
      </c>
      <c r="F34" s="83">
        <f>'Dashboard Data'!F34</f>
        <v>-228818.125</v>
      </c>
      <c r="G34" s="83">
        <f>'Dashboard Data'!G34</f>
        <v>-296763.23750000005</v>
      </c>
      <c r="H34" s="83">
        <f>'Dashboard Data'!H34</f>
        <v>-82660.427000000025</v>
      </c>
      <c r="I34" s="83">
        <f>'Dashboard Data'!I34</f>
        <v>-86313.635539999988</v>
      </c>
    </row>
    <row r="35" spans="2:24" x14ac:dyDescent="0.25">
      <c r="B35" s="16"/>
      <c r="C35" s="16"/>
      <c r="D35" s="23"/>
      <c r="E35" s="23"/>
      <c r="F35" s="23"/>
      <c r="G35" s="23"/>
      <c r="H35" s="23"/>
      <c r="I35" s="24"/>
    </row>
    <row r="36" spans="2:24" x14ac:dyDescent="0.25">
      <c r="B36" s="19" t="s">
        <v>233</v>
      </c>
      <c r="C36" s="17"/>
      <c r="D36" s="68">
        <f>'Dashboard Data'!D36</f>
        <v>-136562.5</v>
      </c>
      <c r="E36" s="68">
        <f>'Dashboard Data'!E36</f>
        <v>-299656.25</v>
      </c>
      <c r="F36" s="68">
        <f>'Dashboard Data'!F36</f>
        <v>-528474.375</v>
      </c>
      <c r="G36" s="68">
        <f>'Dashboard Data'!G36</f>
        <v>-825237.61250000005</v>
      </c>
      <c r="H36" s="68">
        <f>'Dashboard Data'!H36</f>
        <v>-907898.03950000007</v>
      </c>
      <c r="I36" s="68">
        <f>'Dashboard Data'!I36</f>
        <v>-994211.67504000012</v>
      </c>
    </row>
    <row r="37" spans="2:24" x14ac:dyDescent="0.25">
      <c r="B37" s="16"/>
      <c r="C37" s="16"/>
      <c r="D37" s="16"/>
      <c r="E37" s="16"/>
      <c r="F37" s="16"/>
      <c r="G37" s="16"/>
      <c r="H37" s="16"/>
      <c r="I37" s="16"/>
      <c r="L37" s="292" t="s">
        <v>257</v>
      </c>
      <c r="M37" s="292"/>
      <c r="N37" s="292"/>
    </row>
    <row r="38" spans="2:24" x14ac:dyDescent="0.25">
      <c r="B38" s="31"/>
    </row>
    <row r="39" spans="2:24" ht="15.75" x14ac:dyDescent="0.25">
      <c r="B39" s="284" t="s">
        <v>121</v>
      </c>
      <c r="C39" s="285"/>
      <c r="D39" s="286"/>
      <c r="E39" s="286"/>
      <c r="F39" s="286"/>
      <c r="G39" s="286"/>
      <c r="H39" s="372"/>
      <c r="I39" s="372"/>
      <c r="L39" s="290" t="s">
        <v>252</v>
      </c>
    </row>
    <row r="40" spans="2:24" ht="30" x14ac:dyDescent="0.25">
      <c r="B40" s="16"/>
      <c r="C40" s="22"/>
      <c r="D40" s="34" t="s">
        <v>206</v>
      </c>
      <c r="E40" s="20" t="s">
        <v>3</v>
      </c>
      <c r="F40" s="20" t="s">
        <v>4</v>
      </c>
      <c r="G40" s="20" t="s">
        <v>5</v>
      </c>
      <c r="H40" s="20" t="s">
        <v>6</v>
      </c>
      <c r="I40" s="20" t="s">
        <v>7</v>
      </c>
      <c r="M40" s="34"/>
      <c r="N40" s="34" t="s">
        <v>206</v>
      </c>
      <c r="O40" s="34"/>
      <c r="P40" s="20"/>
      <c r="Q40" s="20" t="s">
        <v>3</v>
      </c>
      <c r="R40" s="20"/>
      <c r="S40" s="20"/>
      <c r="T40" s="20" t="s">
        <v>4</v>
      </c>
      <c r="U40" s="20"/>
      <c r="V40" s="20"/>
      <c r="W40" s="20" t="s">
        <v>5</v>
      </c>
      <c r="X40" s="20"/>
    </row>
    <row r="41" spans="2:24" x14ac:dyDescent="0.25">
      <c r="B41" s="293" t="s">
        <v>128</v>
      </c>
      <c r="C41" s="293"/>
      <c r="D41" s="293"/>
      <c r="E41" s="294">
        <f>'Dashboard Data'!E41</f>
        <v>120041.67999999957</v>
      </c>
      <c r="F41" s="294">
        <f>'Dashboard Data'!F41</f>
        <v>261690.8623999994</v>
      </c>
      <c r="G41" s="294">
        <f>'Dashboard Data'!G41</f>
        <v>503274.74340000015</v>
      </c>
      <c r="H41" s="294">
        <f>'Dashboard Data'!H41</f>
        <v>0</v>
      </c>
      <c r="I41" s="294">
        <f>'Dashboard Data'!I41</f>
        <v>0</v>
      </c>
      <c r="J41" s="290" t="s">
        <v>258</v>
      </c>
      <c r="K41" s="420"/>
      <c r="L41" s="293" t="s">
        <v>251</v>
      </c>
      <c r="M41" s="295">
        <f>D25</f>
        <v>316250</v>
      </c>
      <c r="N41" s="233"/>
      <c r="O41" s="233"/>
      <c r="P41" s="295">
        <f>E25</f>
        <v>322575</v>
      </c>
      <c r="Q41" s="233"/>
      <c r="R41" s="233"/>
      <c r="S41" s="295">
        <f>F25</f>
        <v>360276.5</v>
      </c>
      <c r="T41" s="233"/>
      <c r="U41" s="233"/>
      <c r="V41" s="295">
        <f>G25</f>
        <v>399777.03</v>
      </c>
      <c r="W41" s="233"/>
    </row>
    <row r="42" spans="2:24" x14ac:dyDescent="0.25">
      <c r="B42" s="135" t="s">
        <v>118</v>
      </c>
      <c r="C42" s="17"/>
      <c r="D42" s="16"/>
      <c r="E42" s="136">
        <f>'Dashboard Data'!E42</f>
        <v>0</v>
      </c>
      <c r="F42" s="136">
        <f>'Dashboard Data'!F42</f>
        <v>81628.342400000067</v>
      </c>
      <c r="G42" s="136">
        <f>'Dashboard Data'!G42</f>
        <v>165657.51840000018</v>
      </c>
      <c r="H42" s="136">
        <f>'Dashboard Data'!H42</f>
        <v>0</v>
      </c>
      <c r="I42" s="136">
        <f>'Dashboard Data'!I42</f>
        <v>0</v>
      </c>
      <c r="K42" s="420"/>
      <c r="L42" s="226" t="s">
        <v>251</v>
      </c>
      <c r="M42" s="233">
        <v>0</v>
      </c>
      <c r="N42" s="233"/>
      <c r="O42" s="233"/>
      <c r="P42" s="233">
        <v>0</v>
      </c>
      <c r="Q42" s="233"/>
      <c r="R42" s="233"/>
      <c r="S42" s="233">
        <v>0</v>
      </c>
      <c r="T42" s="233"/>
      <c r="U42" s="233"/>
      <c r="V42" s="233">
        <v>0</v>
      </c>
      <c r="W42" s="233"/>
    </row>
    <row r="43" spans="2:24" x14ac:dyDescent="0.25">
      <c r="B43" s="138" t="s">
        <v>119</v>
      </c>
      <c r="C43" s="17"/>
      <c r="D43" s="139">
        <f>'Dashboard Data'!D43</f>
        <v>0.61199999999999999</v>
      </c>
      <c r="E43" s="139">
        <f>'Dashboard Data'!E43</f>
        <v>0.61199999999999999</v>
      </c>
      <c r="F43" s="139">
        <f>'Dashboard Data'!F43</f>
        <v>0.622</v>
      </c>
      <c r="G43" s="139">
        <f>'Dashboard Data'!G43</f>
        <v>0.63200000000000001</v>
      </c>
      <c r="H43" s="139">
        <f>'Dashboard Data'!H43</f>
        <v>0</v>
      </c>
      <c r="I43" s="139">
        <f>'Dashboard Data'!I43</f>
        <v>0</v>
      </c>
      <c r="K43" s="420"/>
      <c r="L43" s="293" t="s">
        <v>128</v>
      </c>
      <c r="M43" s="233"/>
      <c r="N43" s="233"/>
      <c r="O43" s="233"/>
      <c r="P43" s="233"/>
      <c r="Q43" s="295">
        <f>E41</f>
        <v>120041.67999999957</v>
      </c>
      <c r="R43" s="234"/>
      <c r="S43" s="233"/>
      <c r="T43" s="295">
        <f>F41</f>
        <v>261690.8623999994</v>
      </c>
      <c r="U43" s="234"/>
      <c r="V43" s="233"/>
      <c r="W43" s="295">
        <f>G41</f>
        <v>503274.74340000015</v>
      </c>
    </row>
    <row r="44" spans="2:24" x14ac:dyDescent="0.25">
      <c r="B44" s="135" t="s">
        <v>141</v>
      </c>
      <c r="C44" s="17"/>
      <c r="D44" s="16"/>
      <c r="E44" s="137">
        <f>'Dashboard Data'!E44</f>
        <v>120041.67999999957</v>
      </c>
      <c r="F44" s="137">
        <f>'Dashboard Data'!F44</f>
        <v>180062.51999999935</v>
      </c>
      <c r="G44" s="137">
        <f>'Dashboard Data'!G44</f>
        <v>337617.22499999998</v>
      </c>
      <c r="H44" s="137">
        <f>'Dashboard Data'!H44</f>
        <v>0</v>
      </c>
      <c r="I44" s="137">
        <f>'Dashboard Data'!I44</f>
        <v>0</v>
      </c>
      <c r="K44" s="420"/>
      <c r="L44" s="283" t="s">
        <v>226</v>
      </c>
      <c r="M44" s="233"/>
      <c r="N44" s="297">
        <f>D18</f>
        <v>258750</v>
      </c>
      <c r="O44" s="234"/>
      <c r="P44" s="233"/>
      <c r="Q44" s="297">
        <f>E18</f>
        <v>240125</v>
      </c>
      <c r="R44" s="234"/>
      <c r="S44" s="233"/>
      <c r="T44" s="297">
        <f>F18</f>
        <v>221527.5</v>
      </c>
      <c r="U44" s="234"/>
      <c r="V44" s="233"/>
      <c r="W44" s="297">
        <f>G18</f>
        <v>202958.05</v>
      </c>
    </row>
    <row r="45" spans="2:24" x14ac:dyDescent="0.25">
      <c r="B45" s="138" t="s">
        <v>120</v>
      </c>
      <c r="C45" s="17"/>
      <c r="D45" s="140">
        <f>'Dashboard Data'!D45</f>
        <v>13.3</v>
      </c>
      <c r="E45" s="140">
        <f>'Dashboard Data'!E45</f>
        <v>13.5</v>
      </c>
      <c r="F45" s="140">
        <f>'Dashboard Data'!F45</f>
        <v>13.6</v>
      </c>
      <c r="G45" s="140">
        <f>'Dashboard Data'!G45</f>
        <v>13.8</v>
      </c>
      <c r="H45" s="140">
        <f>'Dashboard Data'!H45</f>
        <v>0</v>
      </c>
      <c r="I45" s="140">
        <f>'Dashboard Data'!I45</f>
        <v>0</v>
      </c>
      <c r="L45" s="293" t="s">
        <v>324</v>
      </c>
      <c r="O45" s="296">
        <f>D53</f>
        <v>-57500</v>
      </c>
      <c r="R45" s="296">
        <f>E53</f>
        <v>37591.679999999586</v>
      </c>
      <c r="U45" s="296">
        <f>F53</f>
        <v>122941.8623999994</v>
      </c>
      <c r="X45" s="296">
        <f>G53</f>
        <v>306455.76340000005</v>
      </c>
    </row>
    <row r="46" spans="2:24" ht="7.5" customHeight="1" x14ac:dyDescent="0.25">
      <c r="B46" s="142"/>
      <c r="C46" s="16"/>
      <c r="D46" s="69"/>
      <c r="E46" s="69"/>
      <c r="F46" s="69"/>
      <c r="G46" s="69"/>
      <c r="H46" s="69"/>
      <c r="I46" s="69"/>
    </row>
    <row r="47" spans="2:24" x14ac:dyDescent="0.25">
      <c r="B47" s="283" t="s">
        <v>386</v>
      </c>
      <c r="C47" s="288"/>
      <c r="D47" s="289">
        <f t="shared" ref="D47:I47" si="0">IF(D41-D25=0, NA(),D41-D25)</f>
        <v>-316250</v>
      </c>
      <c r="E47" s="289">
        <f t="shared" si="0"/>
        <v>-202533.32000000041</v>
      </c>
      <c r="F47" s="289">
        <f t="shared" si="0"/>
        <v>-98585.637600000598</v>
      </c>
      <c r="G47" s="289">
        <f t="shared" si="0"/>
        <v>103497.71340000012</v>
      </c>
      <c r="H47" s="289">
        <f t="shared" si="0"/>
        <v>-146128.34160000001</v>
      </c>
      <c r="I47" s="289">
        <f t="shared" si="0"/>
        <v>-149050.908432</v>
      </c>
      <c r="J47" s="288" t="s">
        <v>184</v>
      </c>
    </row>
    <row r="48" spans="2:24" x14ac:dyDescent="0.25">
      <c r="B48" s="275" t="s">
        <v>352</v>
      </c>
      <c r="C48" s="42"/>
      <c r="D48" s="276">
        <f>'Dashboard Data'!D48</f>
        <v>0</v>
      </c>
      <c r="E48" s="276">
        <f>'Dashboard Data'!E48</f>
        <v>-0.62786427962489477</v>
      </c>
      <c r="F48" s="276">
        <f>'Dashboard Data'!F48</f>
        <v>-0.27363882351471885</v>
      </c>
      <c r="G48" s="276">
        <f>'Dashboard Data'!G48</f>
        <v>0.25888859447477541</v>
      </c>
      <c r="H48" s="139">
        <f>'Dashboard Data'!H48</f>
        <v>0</v>
      </c>
      <c r="I48" s="139">
        <f>'Dashboard Data'!I48</f>
        <v>0</v>
      </c>
      <c r="J48" s="179" t="s">
        <v>353</v>
      </c>
    </row>
    <row r="49" spans="2:11" ht="15" customHeight="1" x14ac:dyDescent="0.25">
      <c r="B49" s="142"/>
      <c r="C49" s="16"/>
      <c r="D49" s="143"/>
      <c r="E49" s="143"/>
      <c r="F49" s="143"/>
      <c r="G49" s="143"/>
      <c r="H49" s="143"/>
      <c r="I49" s="143"/>
    </row>
    <row r="50" spans="2:11" ht="30" customHeight="1" x14ac:dyDescent="0.25">
      <c r="B50" s="419" t="s">
        <v>131</v>
      </c>
      <c r="C50" s="419"/>
      <c r="D50" s="289">
        <f>D47</f>
        <v>-316250</v>
      </c>
      <c r="E50" s="289">
        <f>D50+E47</f>
        <v>-518783.32000000041</v>
      </c>
      <c r="F50" s="289">
        <f>E50+F47</f>
        <v>-617368.95760000101</v>
      </c>
      <c r="G50" s="289">
        <f>F50+G47</f>
        <v>-513871.24420000089</v>
      </c>
      <c r="H50" s="289">
        <f>G50+H47</f>
        <v>-659999.58580000093</v>
      </c>
      <c r="I50" s="289">
        <f>H50+I47</f>
        <v>-809050.4942320009</v>
      </c>
      <c r="J50" s="288" t="s">
        <v>184</v>
      </c>
    </row>
    <row r="51" spans="2:11" ht="30" customHeight="1" x14ac:dyDescent="0.25">
      <c r="B51" s="275" t="s">
        <v>351</v>
      </c>
      <c r="C51" s="42"/>
      <c r="D51" s="276">
        <f>'Dashboard Data'!D51</f>
        <v>0</v>
      </c>
      <c r="E51" s="276">
        <f>'Dashboard Data'!E51</f>
        <v>-0.81208988377098645</v>
      </c>
      <c r="F51" s="276">
        <f>'Dashboard Data'!F51</f>
        <v>-0.61792416245997128</v>
      </c>
      <c r="G51" s="276">
        <f>'Dashboard Data'!G51</f>
        <v>-0.36734515054713213</v>
      </c>
      <c r="H51" s="139">
        <f>'Dashboard Data'!H51</f>
        <v>0</v>
      </c>
      <c r="I51" s="139">
        <f>'Dashboard Data'!I51</f>
        <v>0</v>
      </c>
      <c r="J51" s="179" t="s">
        <v>353</v>
      </c>
    </row>
    <row r="52" spans="2:11" ht="15" customHeight="1" x14ac:dyDescent="0.25">
      <c r="B52" s="16"/>
      <c r="C52" s="16"/>
      <c r="D52" s="16"/>
      <c r="E52" s="16"/>
      <c r="F52" s="16"/>
      <c r="G52" s="16"/>
      <c r="H52" s="16"/>
      <c r="I52" s="16"/>
      <c r="J52" s="3"/>
    </row>
    <row r="53" spans="2:11" ht="15" customHeight="1" x14ac:dyDescent="0.25">
      <c r="B53" s="293" t="s">
        <v>387</v>
      </c>
      <c r="C53" s="298"/>
      <c r="D53" s="296">
        <f>'Dashboard Data'!D53</f>
        <v>-57500</v>
      </c>
      <c r="E53" s="296">
        <f>'Dashboard Data'!E53</f>
        <v>37591.679999999586</v>
      </c>
      <c r="F53" s="296">
        <f>'Dashboard Data'!F53</f>
        <v>122941.8623999994</v>
      </c>
      <c r="G53" s="296">
        <f>'Dashboard Data'!G53</f>
        <v>306455.76340000005</v>
      </c>
      <c r="H53" s="296">
        <f>'Dashboard Data'!H53</f>
        <v>-46128.341600000014</v>
      </c>
      <c r="I53" s="296">
        <f>'Dashboard Data'!I53</f>
        <v>-49050.908431999997</v>
      </c>
      <c r="J53" s="290" t="s">
        <v>323</v>
      </c>
    </row>
    <row r="54" spans="2:11" x14ac:dyDescent="0.25">
      <c r="J54" s="3"/>
    </row>
    <row r="55" spans="2:11" ht="15.75" x14ac:dyDescent="0.25">
      <c r="B55" s="284" t="s">
        <v>255</v>
      </c>
      <c r="C55" s="285"/>
      <c r="D55" s="286"/>
      <c r="E55" s="286"/>
      <c r="F55" s="286"/>
      <c r="G55" s="286"/>
      <c r="H55" s="372"/>
      <c r="I55" s="372"/>
    </row>
    <row r="56" spans="2:11" ht="30" x14ac:dyDescent="0.25">
      <c r="D56" s="34" t="s">
        <v>206</v>
      </c>
      <c r="E56" s="20" t="s">
        <v>3</v>
      </c>
      <c r="F56" s="20" t="s">
        <v>4</v>
      </c>
      <c r="G56" s="20" t="s">
        <v>5</v>
      </c>
      <c r="H56" s="20" t="s">
        <v>6</v>
      </c>
      <c r="I56" s="20" t="s">
        <v>7</v>
      </c>
    </row>
    <row r="57" spans="2:11" x14ac:dyDescent="0.25">
      <c r="B57" s="10" t="s">
        <v>262</v>
      </c>
      <c r="C57" s="17"/>
      <c r="D57" s="17"/>
      <c r="E57" s="67">
        <f>'Dashboard Data'!E57</f>
        <v>173145.75</v>
      </c>
      <c r="F57" s="67">
        <f>'Dashboard Data'!F57</f>
        <v>364560.48</v>
      </c>
      <c r="G57" s="67">
        <f>'Dashboard Data'!G57</f>
        <v>534450.46</v>
      </c>
      <c r="H57" s="67">
        <f>'Dashboard Data'!H57</f>
        <v>831119.71</v>
      </c>
      <c r="I57" s="67">
        <f>'Dashboard Data'!I57</f>
        <v>1045933.6</v>
      </c>
    </row>
    <row r="58" spans="2:11" x14ac:dyDescent="0.25">
      <c r="B58" s="138" t="s">
        <v>256</v>
      </c>
      <c r="C58" s="17"/>
      <c r="D58" s="227">
        <f>'Dashboard Data'!D58</f>
        <v>672.10884353741494</v>
      </c>
      <c r="E58" s="227">
        <f>'Dashboard Data'!E58</f>
        <v>690.25578231292513</v>
      </c>
      <c r="F58" s="227">
        <f>'Dashboard Data'!F58</f>
        <v>708.892688435374</v>
      </c>
      <c r="G58" s="227">
        <f>'Dashboard Data'!G58</f>
        <v>728.03279102312899</v>
      </c>
      <c r="H58" s="227">
        <f>'Dashboard Data'!H58</f>
        <v>747.68967638075344</v>
      </c>
      <c r="I58" s="227">
        <f>'Dashboard Data'!I58</f>
        <v>767.87729764303367</v>
      </c>
    </row>
    <row r="59" spans="2:11" x14ac:dyDescent="0.25">
      <c r="B59" s="138" t="s">
        <v>261</v>
      </c>
      <c r="C59" s="17"/>
      <c r="D59" s="230"/>
      <c r="E59" s="235">
        <f>'Dashboard Data'!E59</f>
        <v>-6.5703180128434724</v>
      </c>
      <c r="F59" s="235">
        <f>'Dashboard Data'!F59</f>
        <v>-13.56263163218739</v>
      </c>
      <c r="G59" s="235">
        <f>'Dashboard Data'!G59</f>
        <v>-19.493133737638288</v>
      </c>
      <c r="H59" s="235">
        <f>'Dashboard Data'!H59</f>
        <v>-29.719234540595437</v>
      </c>
      <c r="I59" s="235">
        <f>'Dashboard Data'!I59</f>
        <v>-36.667219611095788</v>
      </c>
    </row>
    <row r="61" spans="2:11" ht="15.75" x14ac:dyDescent="0.25">
      <c r="B61" s="284" t="s">
        <v>254</v>
      </c>
      <c r="C61" s="286"/>
      <c r="D61" s="286"/>
      <c r="E61" s="286"/>
      <c r="F61" s="286"/>
      <c r="G61" s="286"/>
      <c r="H61" s="372"/>
      <c r="I61" s="372"/>
    </row>
    <row r="62" spans="2:11" ht="30" x14ac:dyDescent="0.25">
      <c r="B62" s="16"/>
      <c r="C62" s="22"/>
      <c r="D62" s="34" t="s">
        <v>206</v>
      </c>
      <c r="E62" s="20" t="s">
        <v>3</v>
      </c>
      <c r="F62" s="20" t="s">
        <v>4</v>
      </c>
      <c r="G62" s="20" t="s">
        <v>5</v>
      </c>
      <c r="H62" s="20" t="s">
        <v>6</v>
      </c>
      <c r="I62" s="20" t="s">
        <v>7</v>
      </c>
    </row>
    <row r="63" spans="2:11" ht="15.75" x14ac:dyDescent="0.25">
      <c r="B63" s="284" t="s">
        <v>253</v>
      </c>
      <c r="C63" s="372"/>
      <c r="D63" s="372"/>
      <c r="E63" s="372"/>
      <c r="F63" s="372"/>
      <c r="G63" s="372"/>
      <c r="H63" s="372"/>
      <c r="I63" s="372"/>
    </row>
    <row r="64" spans="2:11" x14ac:dyDescent="0.25">
      <c r="B64" s="10" t="s">
        <v>64</v>
      </c>
      <c r="C64" s="10"/>
      <c r="D64" s="84">
        <f>'Dashboard Data'!D64</f>
        <v>181250</v>
      </c>
      <c r="E64" s="84">
        <f>'Dashboard Data'!E64</f>
        <v>184875</v>
      </c>
      <c r="F64" s="84">
        <f>'Dashboard Data'!F64</f>
        <v>219822.5</v>
      </c>
      <c r="G64" s="84">
        <f>'Dashboard Data'!G64</f>
        <v>256513.95</v>
      </c>
      <c r="H64" s="84">
        <f>'Dashboard Data'!H64</f>
        <v>0</v>
      </c>
      <c r="I64" s="84">
        <f>'Dashboard Data'!I64</f>
        <v>0</v>
      </c>
      <c r="K64" s="133"/>
    </row>
    <row r="65" spans="2:11" x14ac:dyDescent="0.25">
      <c r="B65" s="85" t="s">
        <v>66</v>
      </c>
      <c r="C65" s="17"/>
      <c r="D65" s="86">
        <f>'Dashboard Data'!D65</f>
        <v>145000</v>
      </c>
      <c r="E65" s="86">
        <f>'Dashboard Data'!E65</f>
        <v>147900</v>
      </c>
      <c r="F65" s="86">
        <f>'Dashboard Data'!F65</f>
        <v>175858</v>
      </c>
      <c r="G65" s="86">
        <f>'Dashboard Data'!G65</f>
        <v>209375.16</v>
      </c>
      <c r="H65" s="86">
        <f>'Dashboard Data'!H65</f>
        <v>0</v>
      </c>
      <c r="I65" s="86">
        <f>'Dashboard Data'!I65</f>
        <v>0</v>
      </c>
      <c r="K65" s="133"/>
    </row>
    <row r="66" spans="2:11" x14ac:dyDescent="0.25">
      <c r="B66" s="85" t="s">
        <v>67</v>
      </c>
      <c r="C66" s="17"/>
      <c r="D66" s="86">
        <f>'Dashboard Data'!D66</f>
        <v>36250</v>
      </c>
      <c r="E66" s="86">
        <f>'Dashboard Data'!E66</f>
        <v>36975</v>
      </c>
      <c r="F66" s="86">
        <f>'Dashboard Data'!F66</f>
        <v>43964.5</v>
      </c>
      <c r="G66" s="86">
        <f>'Dashboard Data'!G66</f>
        <v>47138.79</v>
      </c>
      <c r="H66" s="86">
        <f>'Dashboard Data'!H66</f>
        <v>0</v>
      </c>
      <c r="I66" s="86">
        <f>'Dashboard Data'!I66</f>
        <v>0</v>
      </c>
      <c r="J66" s="179" t="s">
        <v>182</v>
      </c>
      <c r="K66" s="133"/>
    </row>
    <row r="67" spans="2:11" x14ac:dyDescent="0.25">
      <c r="B67" s="16"/>
      <c r="C67" s="16"/>
      <c r="D67" s="89"/>
      <c r="E67" s="89"/>
      <c r="F67" s="89"/>
      <c r="G67" s="89"/>
      <c r="H67" s="89"/>
      <c r="I67" s="89"/>
      <c r="K67" s="133"/>
    </row>
    <row r="68" spans="2:11" x14ac:dyDescent="0.25">
      <c r="B68" s="178" t="s">
        <v>129</v>
      </c>
      <c r="C68" s="185"/>
      <c r="D68" s="86">
        <f>'Dashboard Data'!D68</f>
        <v>181250</v>
      </c>
      <c r="E68" s="86">
        <f>'Dashboard Data'!E68</f>
        <v>184875</v>
      </c>
      <c r="F68" s="86">
        <f>'Dashboard Data'!F68</f>
        <v>188572.5</v>
      </c>
      <c r="G68" s="86">
        <f>'Dashboard Data'!G68</f>
        <v>192343.95</v>
      </c>
      <c r="H68" s="86">
        <f>'Dashboard Data'!H68</f>
        <v>0</v>
      </c>
      <c r="I68" s="86">
        <f>'Dashboard Data'!I68</f>
        <v>0</v>
      </c>
      <c r="J68" s="180">
        <f>SUM(D68:G68)</f>
        <v>747041.45</v>
      </c>
      <c r="K68" s="133"/>
    </row>
    <row r="69" spans="2:11" x14ac:dyDescent="0.25">
      <c r="B69" s="178" t="s">
        <v>130</v>
      </c>
      <c r="C69" s="186"/>
      <c r="D69" s="87">
        <f>'Dashboard Data'!D69</f>
        <v>0</v>
      </c>
      <c r="E69" s="87">
        <f>'Dashboard Data'!E69</f>
        <v>0</v>
      </c>
      <c r="F69" s="87">
        <f>'Dashboard Data'!F69</f>
        <v>31250</v>
      </c>
      <c r="G69" s="87">
        <f>'Dashboard Data'!G69</f>
        <v>64170</v>
      </c>
      <c r="H69" s="87">
        <f>'Dashboard Data'!H69</f>
        <v>0</v>
      </c>
      <c r="I69" s="87">
        <f>'Dashboard Data'!I69</f>
        <v>0</v>
      </c>
      <c r="J69" s="180">
        <f>SUM(D69:G69)</f>
        <v>95420</v>
      </c>
      <c r="K69" s="133"/>
    </row>
    <row r="70" spans="2:11" x14ac:dyDescent="0.25">
      <c r="B70" s="80"/>
      <c r="C70" s="69"/>
      <c r="D70" s="89"/>
      <c r="E70" s="89"/>
      <c r="F70" s="89"/>
      <c r="G70" s="89"/>
      <c r="H70" s="89"/>
      <c r="I70" s="89"/>
      <c r="K70" s="133"/>
    </row>
    <row r="71" spans="2:11" x14ac:dyDescent="0.25">
      <c r="B71" s="10" t="s">
        <v>65</v>
      </c>
      <c r="C71" s="10"/>
      <c r="D71" s="84">
        <f>'Dashboard Data'!D71</f>
        <v>135000</v>
      </c>
      <c r="E71" s="84">
        <f>'Dashboard Data'!E71</f>
        <v>137700</v>
      </c>
      <c r="F71" s="84">
        <f>'Dashboard Data'!F71</f>
        <v>140454</v>
      </c>
      <c r="G71" s="84">
        <f>'Dashboard Data'!G71</f>
        <v>143263.07999999999</v>
      </c>
      <c r="H71" s="84">
        <f>'Dashboard Data'!H71</f>
        <v>146128.34160000001</v>
      </c>
      <c r="I71" s="84">
        <f>'Dashboard Data'!I71</f>
        <v>149050.908432</v>
      </c>
      <c r="K71" s="133"/>
    </row>
    <row r="72" spans="2:11" x14ac:dyDescent="0.25">
      <c r="B72" s="178" t="s">
        <v>111</v>
      </c>
      <c r="C72" s="185"/>
      <c r="D72" s="86">
        <f>'Dashboard Data'!D72</f>
        <v>120000</v>
      </c>
      <c r="E72" s="86">
        <f>'Dashboard Data'!E72</f>
        <v>122400</v>
      </c>
      <c r="F72" s="86">
        <f>'Dashboard Data'!F72</f>
        <v>124848</v>
      </c>
      <c r="G72" s="86">
        <f>'Dashboard Data'!G72</f>
        <v>127344.96000000001</v>
      </c>
      <c r="H72" s="86">
        <f>'Dashboard Data'!H72</f>
        <v>129891.85920000001</v>
      </c>
      <c r="I72" s="86">
        <f>'Dashboard Data'!I72</f>
        <v>132489.69638400001</v>
      </c>
      <c r="J72" s="180">
        <f>SUM(D72:G72)</f>
        <v>494592.96</v>
      </c>
      <c r="K72" s="180">
        <f>SUM(J68:J74)</f>
        <v>1398878.53</v>
      </c>
    </row>
    <row r="73" spans="2:11" x14ac:dyDescent="0.25">
      <c r="B73" s="178" t="s">
        <v>112</v>
      </c>
      <c r="C73" s="185"/>
      <c r="D73" s="86">
        <f>'Dashboard Data'!D73</f>
        <v>10000</v>
      </c>
      <c r="E73" s="86">
        <f>'Dashboard Data'!E73</f>
        <v>10200</v>
      </c>
      <c r="F73" s="86">
        <f>'Dashboard Data'!F73</f>
        <v>10404</v>
      </c>
      <c r="G73" s="86">
        <f>'Dashboard Data'!G73</f>
        <v>10612.08</v>
      </c>
      <c r="H73" s="86">
        <f>'Dashboard Data'!H73</f>
        <v>10824.321599999999</v>
      </c>
      <c r="I73" s="86">
        <f>'Dashboard Data'!I73</f>
        <v>11040.808031999999</v>
      </c>
      <c r="J73" s="180">
        <f>SUM(D73:G73)</f>
        <v>41216.080000000002</v>
      </c>
      <c r="K73" s="133"/>
    </row>
    <row r="74" spans="2:11" x14ac:dyDescent="0.25">
      <c r="B74" s="178" t="s">
        <v>113</v>
      </c>
      <c r="C74" s="185"/>
      <c r="D74" s="86">
        <f>'Dashboard Data'!D74</f>
        <v>5000</v>
      </c>
      <c r="E74" s="86">
        <f>'Dashboard Data'!E74</f>
        <v>5100</v>
      </c>
      <c r="F74" s="86">
        <f>'Dashboard Data'!F74</f>
        <v>5202</v>
      </c>
      <c r="G74" s="86">
        <f>'Dashboard Data'!G74</f>
        <v>5306.04</v>
      </c>
      <c r="H74" s="86">
        <f>'Dashboard Data'!H74</f>
        <v>5412.1607999999997</v>
      </c>
      <c r="I74" s="86">
        <f>'Dashboard Data'!I74</f>
        <v>5520.4040159999995</v>
      </c>
      <c r="J74" s="180">
        <f>SUM(D74:G74)</f>
        <v>20608.04</v>
      </c>
    </row>
    <row r="75" spans="2:11" x14ac:dyDescent="0.25">
      <c r="B75" s="31"/>
      <c r="C75" s="65"/>
      <c r="D75" s="79"/>
      <c r="E75" s="79"/>
      <c r="F75" s="79"/>
      <c r="G75" s="79"/>
      <c r="H75" s="79"/>
      <c r="J75" s="179">
        <f>IF(K72&gt;0,0,IF(K72&gt;0,NA(),100))</f>
        <v>0</v>
      </c>
    </row>
    <row r="76" spans="2:11" ht="15.75" x14ac:dyDescent="0.25">
      <c r="B76" s="284" t="s">
        <v>68</v>
      </c>
      <c r="C76" s="286"/>
      <c r="D76" s="286"/>
      <c r="E76" s="286"/>
      <c r="F76" s="286"/>
      <c r="G76" s="286"/>
      <c r="H76" s="372"/>
      <c r="I76" s="372"/>
    </row>
    <row r="77" spans="2:11" x14ac:dyDescent="0.25">
      <c r="B77" s="181" t="s">
        <v>137</v>
      </c>
      <c r="C77" s="181"/>
      <c r="D77" s="126"/>
      <c r="E77" s="184">
        <f>'Dashboard Data'!E77</f>
        <v>80.643749999999997</v>
      </c>
      <c r="F77" s="184">
        <f>'Dashboard Data'!F77</f>
        <v>90.069125</v>
      </c>
      <c r="G77" s="184">
        <f>'Dashboard Data'!G77</f>
        <v>88.839340000000007</v>
      </c>
      <c r="H77" s="67" t="e">
        <f>'Dashboard Data'!H77</f>
        <v>#DIV/0!</v>
      </c>
      <c r="I77" s="67" t="e">
        <f>'Dashboard Data'!I77</f>
        <v>#DIV/0!</v>
      </c>
      <c r="J77" s="183" t="s">
        <v>183</v>
      </c>
    </row>
    <row r="78" spans="2:11" x14ac:dyDescent="0.25">
      <c r="B78" s="17" t="s">
        <v>69</v>
      </c>
      <c r="C78" s="17"/>
      <c r="D78" s="69"/>
      <c r="E78" s="67">
        <f>'Dashboard Data'!E78</f>
        <v>32.2575</v>
      </c>
      <c r="F78" s="67">
        <f>'Dashboard Data'!F78</f>
        <v>35.670940594059402</v>
      </c>
      <c r="G78" s="67">
        <f>'Dashboard Data'!G78</f>
        <v>39.18998431526321</v>
      </c>
      <c r="H78" s="67" t="e">
        <f>'Dashboard Data'!H78</f>
        <v>#DIV/0!</v>
      </c>
      <c r="I78" s="67" t="e">
        <f>'Dashboard Data'!I78</f>
        <v>#DIV/0!</v>
      </c>
    </row>
    <row r="79" spans="2:11" x14ac:dyDescent="0.25">
      <c r="B79" s="17" t="s">
        <v>70</v>
      </c>
      <c r="C79" s="17"/>
      <c r="D79" s="69"/>
      <c r="E79" s="67">
        <f>'Dashboard Data'!E79</f>
        <v>21.55796072351076</v>
      </c>
      <c r="F79" s="67">
        <f>'Dashboard Data'!F79</f>
        <v>23.839192011080158</v>
      </c>
      <c r="G79" s="67">
        <f>'Dashboard Data'!G79</f>
        <v>26.190998763805226</v>
      </c>
      <c r="H79" s="67" t="e">
        <f>'Dashboard Data'!H79</f>
        <v>#DIV/0!</v>
      </c>
      <c r="I79" s="67" t="e">
        <f>'Dashboard Data'!I79</f>
        <v>#DIV/0!</v>
      </c>
    </row>
    <row r="81" spans="2:10" ht="15.75" x14ac:dyDescent="0.25">
      <c r="B81" s="284" t="s">
        <v>122</v>
      </c>
      <c r="C81" s="286"/>
      <c r="D81" s="286"/>
      <c r="E81" s="286"/>
      <c r="F81" s="286"/>
      <c r="G81" s="286"/>
      <c r="H81" s="372"/>
      <c r="I81" s="372"/>
    </row>
    <row r="82" spans="2:10" ht="30" x14ac:dyDescent="0.25">
      <c r="B82" s="16"/>
      <c r="C82" s="22"/>
      <c r="D82" s="34" t="s">
        <v>208</v>
      </c>
      <c r="E82" s="20" t="s">
        <v>3</v>
      </c>
      <c r="F82" s="20" t="s">
        <v>4</v>
      </c>
      <c r="G82" s="20" t="s">
        <v>5</v>
      </c>
      <c r="H82" s="20" t="s">
        <v>6</v>
      </c>
      <c r="I82" s="20" t="s">
        <v>7</v>
      </c>
    </row>
    <row r="83" spans="2:10" x14ac:dyDescent="0.25">
      <c r="B83" s="181" t="s">
        <v>138</v>
      </c>
      <c r="C83" s="181"/>
      <c r="D83" s="127"/>
      <c r="E83" s="182">
        <f>'Dashboard Data'!E83</f>
        <v>0.4</v>
      </c>
      <c r="F83" s="182">
        <f>'Dashboard Data'!F83</f>
        <v>0.39603960396039606</v>
      </c>
      <c r="G83" s="182">
        <f>'Dashboard Data'!G83</f>
        <v>0.44113322223311441</v>
      </c>
      <c r="H83" s="88" t="e">
        <f>'Dashboard Data'!H83</f>
        <v>#DIV/0!</v>
      </c>
      <c r="I83" s="88" t="e">
        <f>'Dashboard Data'!I83</f>
        <v>#DIV/0!</v>
      </c>
      <c r="J83" s="183" t="s">
        <v>183</v>
      </c>
    </row>
    <row r="84" spans="2:10" x14ac:dyDescent="0.25">
      <c r="B84" s="17" t="s">
        <v>139</v>
      </c>
      <c r="C84" s="17"/>
      <c r="D84" s="127"/>
      <c r="E84" s="88">
        <f>'Dashboard Data'!E84</f>
        <v>0.26732339113087822</v>
      </c>
      <c r="F84" s="88">
        <f>'Dashboard Data'!F84</f>
        <v>0.26467662488205762</v>
      </c>
      <c r="G84" s="88">
        <f>'Dashboard Data'!G84</f>
        <v>0.29481307226961867</v>
      </c>
      <c r="H84" s="88" t="e">
        <f>'Dashboard Data'!H84</f>
        <v>#DIV/0!</v>
      </c>
      <c r="I84" s="88" t="e">
        <f>'Dashboard Data'!I84</f>
        <v>#DIV/0!</v>
      </c>
    </row>
    <row r="85" spans="2:10" x14ac:dyDescent="0.25">
      <c r="B85" s="17" t="s">
        <v>140</v>
      </c>
      <c r="C85" s="17"/>
      <c r="D85" s="127"/>
      <c r="E85" s="88">
        <f>'Dashboard Data'!E85</f>
        <v>0.66830847782719549</v>
      </c>
      <c r="F85" s="88">
        <f>'Dashboard Data'!F85</f>
        <v>0.66830847782719549</v>
      </c>
      <c r="G85" s="88">
        <f>'Dashboard Data'!G85</f>
        <v>0.66830847782719549</v>
      </c>
      <c r="H85" s="88" t="e">
        <f>'Dashboard Data'!H85</f>
        <v>#DIV/0!</v>
      </c>
      <c r="I85" s="88" t="e">
        <f>'Dashboard Data'!I85</f>
        <v>#DIV/0!</v>
      </c>
    </row>
  </sheetData>
  <mergeCells count="5">
    <mergeCell ref="C4:E4"/>
    <mergeCell ref="C5:E5"/>
    <mergeCell ref="B50:C50"/>
    <mergeCell ref="K41:K42"/>
    <mergeCell ref="K43:K4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3E16-B580-45F8-BC83-9AF2AD028F55}">
  <sheetPr>
    <tabColor theme="1"/>
  </sheetPr>
  <dimension ref="A1:AH58"/>
  <sheetViews>
    <sheetView zoomScaleNormal="100" workbookViewId="0"/>
  </sheetViews>
  <sheetFormatPr defaultColWidth="9.140625" defaultRowHeight="15" x14ac:dyDescent="0.25"/>
  <cols>
    <col min="1" max="1" width="1.7109375" style="164" customWidth="1"/>
    <col min="2" max="2" width="11.7109375" style="164" customWidth="1"/>
    <col min="3" max="5" width="9.42578125" style="164" customWidth="1"/>
    <col min="6" max="7" width="9.42578125" style="164" hidden="1" customWidth="1"/>
    <col min="8" max="8" width="8.7109375" style="164" customWidth="1"/>
    <col min="9" max="13" width="9.140625" style="164" customWidth="1"/>
    <col min="14" max="22" width="9.140625" style="164"/>
    <col min="23" max="24" width="9.140625" style="164" customWidth="1"/>
    <col min="25" max="26" width="9.140625" style="164"/>
    <col min="27" max="27" width="6" style="164" customWidth="1"/>
    <col min="28" max="16384" width="9.140625" style="164"/>
  </cols>
  <sheetData>
    <row r="1" spans="1:34" ht="18.75" x14ac:dyDescent="0.3">
      <c r="A1" s="264" t="s">
        <v>343</v>
      </c>
    </row>
    <row r="2" spans="1:34" x14ac:dyDescent="0.25">
      <c r="A2" s="265" t="s">
        <v>405</v>
      </c>
    </row>
    <row r="3" spans="1:34" x14ac:dyDescent="0.25">
      <c r="A3" s="265"/>
    </row>
    <row r="4" spans="1:34" ht="17.25" x14ac:dyDescent="0.3">
      <c r="B4" s="266"/>
      <c r="C4" s="266"/>
      <c r="D4" s="266"/>
      <c r="E4" s="266"/>
      <c r="F4" s="266"/>
      <c r="G4" s="266"/>
      <c r="H4" s="266"/>
      <c r="I4" s="266"/>
      <c r="J4" s="266"/>
      <c r="K4" s="266"/>
      <c r="L4" s="266"/>
      <c r="M4" s="266"/>
      <c r="N4" s="266"/>
      <c r="O4" s="267" t="str">
        <f>'1. Institution-wide Data'!$B$4</f>
        <v>University of X</v>
      </c>
      <c r="P4" s="266"/>
      <c r="Q4" s="266"/>
      <c r="R4" s="266"/>
      <c r="S4" s="266"/>
      <c r="T4" s="266"/>
      <c r="U4" s="266"/>
      <c r="V4" s="266"/>
      <c r="W4" s="266"/>
      <c r="X4" s="266"/>
      <c r="Y4" s="266"/>
      <c r="Z4" s="266"/>
      <c r="AA4" s="266"/>
    </row>
    <row r="5" spans="1:34" ht="15.75" customHeight="1" x14ac:dyDescent="0.3">
      <c r="B5" s="266"/>
      <c r="C5" s="266"/>
      <c r="D5" s="261"/>
      <c r="E5" s="261"/>
      <c r="F5" s="261"/>
      <c r="G5" s="261"/>
      <c r="H5" s="261"/>
      <c r="I5" s="261"/>
      <c r="J5" s="261"/>
      <c r="K5" s="261"/>
      <c r="L5" s="261"/>
      <c r="M5" s="261"/>
      <c r="N5" s="266"/>
      <c r="O5" s="267" t="str">
        <f>CONCATENATE("Initiative: ",'1. Institution-wide Data'!$B$5)</f>
        <v>Initiative: Invest in Advising Technology</v>
      </c>
      <c r="P5" s="261"/>
      <c r="Q5" s="261"/>
      <c r="R5" s="261"/>
      <c r="S5" s="261"/>
      <c r="T5" s="261"/>
      <c r="U5" s="261"/>
      <c r="V5" s="261"/>
      <c r="W5" s="261"/>
      <c r="X5" s="261"/>
      <c r="Y5" s="261"/>
      <c r="Z5" s="261"/>
      <c r="AA5" s="261"/>
    </row>
    <row r="6" spans="1:34" ht="15.75" x14ac:dyDescent="0.25">
      <c r="K6" s="190"/>
      <c r="L6" s="191"/>
      <c r="M6" s="192"/>
      <c r="N6" s="192"/>
      <c r="O6" s="192"/>
      <c r="P6" s="192"/>
      <c r="Q6" s="192"/>
    </row>
    <row r="7" spans="1:34" ht="18.75" x14ac:dyDescent="0.3">
      <c r="B7" s="299" t="s">
        <v>126</v>
      </c>
      <c r="C7" s="286"/>
      <c r="D7" s="286"/>
      <c r="E7" s="286"/>
      <c r="F7" s="286"/>
      <c r="G7" s="286"/>
      <c r="H7" s="286"/>
      <c r="I7" s="286"/>
      <c r="J7" s="286"/>
      <c r="K7" s="286"/>
      <c r="L7" s="286"/>
      <c r="M7" s="286"/>
      <c r="N7" s="286"/>
      <c r="O7" s="286"/>
      <c r="P7" s="286"/>
      <c r="Q7" s="286"/>
      <c r="R7" s="286"/>
      <c r="S7" s="286"/>
      <c r="T7" s="286"/>
      <c r="U7" s="286"/>
      <c r="V7" s="286"/>
      <c r="W7" s="286"/>
      <c r="X7" s="286"/>
      <c r="Y7" s="286"/>
      <c r="Z7" s="286"/>
      <c r="AA7" s="286"/>
    </row>
    <row r="8" spans="1:34" ht="15.75" x14ac:dyDescent="0.25">
      <c r="B8" s="300" t="s">
        <v>400</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row>
    <row r="9" spans="1:34" x14ac:dyDescent="0.25">
      <c r="B9" s="173"/>
    </row>
    <row r="10" spans="1:34" x14ac:dyDescent="0.25">
      <c r="I10" s="211"/>
    </row>
    <row r="11" spans="1:34" ht="15.75" x14ac:dyDescent="0.25">
      <c r="B11" s="421" t="s">
        <v>289</v>
      </c>
      <c r="C11" s="421"/>
      <c r="D11" s="421"/>
      <c r="E11" s="421"/>
      <c r="F11" s="421"/>
      <c r="G11" s="421"/>
      <c r="H11" s="215"/>
      <c r="AE11" s="422"/>
      <c r="AF11" s="422"/>
    </row>
    <row r="12" spans="1:34" ht="24.95" customHeight="1" x14ac:dyDescent="0.25">
      <c r="B12" s="212" t="s">
        <v>2</v>
      </c>
      <c r="C12" s="212" t="s">
        <v>3</v>
      </c>
      <c r="D12" s="212" t="s">
        <v>4</v>
      </c>
      <c r="E12" s="212" t="s">
        <v>5</v>
      </c>
      <c r="F12" s="212" t="s">
        <v>6</v>
      </c>
      <c r="G12" s="212" t="s">
        <v>7</v>
      </c>
      <c r="H12" s="216"/>
      <c r="AH12" s="174"/>
    </row>
    <row r="13" spans="1:34" ht="24.95" customHeight="1" x14ac:dyDescent="0.25">
      <c r="B13" s="213">
        <f>'1. Institution-wide Data'!C21</f>
        <v>0.61199999999999999</v>
      </c>
      <c r="C13" s="214">
        <f>B13</f>
        <v>0.61199999999999999</v>
      </c>
      <c r="D13" s="331">
        <v>0.622</v>
      </c>
      <c r="E13" s="375">
        <v>0.63200000000000001</v>
      </c>
      <c r="F13" s="377"/>
      <c r="G13" s="377"/>
      <c r="H13" s="217"/>
    </row>
    <row r="14" spans="1:34" ht="15" customHeight="1" x14ac:dyDescent="0.25">
      <c r="D14" s="174"/>
      <c r="E14" s="174"/>
      <c r="F14" s="424" t="s">
        <v>243</v>
      </c>
      <c r="G14" s="424"/>
    </row>
    <row r="15" spans="1:34" ht="15" customHeight="1" x14ac:dyDescent="0.25">
      <c r="B15" s="177"/>
      <c r="C15" s="177"/>
      <c r="D15" s="176"/>
      <c r="E15" s="176"/>
      <c r="F15" s="425"/>
      <c r="G15" s="425"/>
    </row>
    <row r="16" spans="1:34" ht="15" customHeight="1" x14ac:dyDescent="0.25">
      <c r="B16" s="176"/>
      <c r="C16" s="176"/>
      <c r="D16" s="176"/>
      <c r="E16" s="176"/>
      <c r="F16" s="425"/>
      <c r="G16" s="425"/>
    </row>
    <row r="17" spans="2:34" x14ac:dyDescent="0.25">
      <c r="B17" s="176"/>
      <c r="C17" s="176"/>
      <c r="D17" s="176"/>
      <c r="E17" s="176"/>
      <c r="F17" s="425"/>
      <c r="G17" s="425"/>
    </row>
    <row r="18" spans="2:34" x14ac:dyDescent="0.25">
      <c r="B18" s="176"/>
      <c r="C18" s="176"/>
      <c r="D18" s="176"/>
      <c r="E18" s="176"/>
      <c r="F18" s="425"/>
      <c r="G18" s="425"/>
    </row>
    <row r="19" spans="2:34" x14ac:dyDescent="0.25">
      <c r="B19" s="176"/>
      <c r="C19" s="176"/>
      <c r="D19" s="176"/>
      <c r="E19" s="176"/>
      <c r="F19" s="425"/>
      <c r="G19" s="425"/>
    </row>
    <row r="20" spans="2:34" ht="17.100000000000001" customHeight="1" x14ac:dyDescent="0.25">
      <c r="F20" s="425"/>
      <c r="G20" s="425"/>
    </row>
    <row r="21" spans="2:34" ht="17.100000000000001" customHeight="1" x14ac:dyDescent="0.25"/>
    <row r="22" spans="2:34" ht="15.75" customHeight="1" x14ac:dyDescent="0.25">
      <c r="B22" s="421" t="s">
        <v>290</v>
      </c>
      <c r="C22" s="421"/>
      <c r="D22" s="421"/>
      <c r="E22" s="421"/>
      <c r="F22" s="421"/>
      <c r="G22" s="421"/>
    </row>
    <row r="23" spans="2:34" ht="24.95" customHeight="1" x14ac:dyDescent="0.25">
      <c r="B23" s="212" t="s">
        <v>2</v>
      </c>
      <c r="C23" s="212" t="s">
        <v>3</v>
      </c>
      <c r="D23" s="212" t="s">
        <v>4</v>
      </c>
      <c r="E23" s="212" t="s">
        <v>5</v>
      </c>
      <c r="F23" s="212" t="s">
        <v>6</v>
      </c>
      <c r="G23" s="212" t="s">
        <v>7</v>
      </c>
      <c r="AE23" s="422"/>
      <c r="AF23" s="422"/>
      <c r="AG23" s="422"/>
    </row>
    <row r="24" spans="2:34" ht="24.95" customHeight="1" x14ac:dyDescent="0.25">
      <c r="B24" s="218">
        <f>'1. Institution-wide Data'!C16</f>
        <v>13.3</v>
      </c>
      <c r="C24" s="376">
        <v>13.5</v>
      </c>
      <c r="D24" s="376">
        <v>13.6</v>
      </c>
      <c r="E24" s="376">
        <v>13.8</v>
      </c>
      <c r="F24" s="378"/>
      <c r="G24" s="378"/>
    </row>
    <row r="25" spans="2:34" ht="24.95" customHeight="1" x14ac:dyDescent="0.25">
      <c r="E25" s="174"/>
      <c r="F25" s="174"/>
      <c r="AH25" s="174"/>
    </row>
    <row r="27" spans="2:34" x14ac:dyDescent="0.25">
      <c r="B27" s="177"/>
      <c r="C27" s="177"/>
      <c r="D27" s="177"/>
      <c r="E27" s="177"/>
      <c r="F27" s="177"/>
    </row>
    <row r="28" spans="2:34" x14ac:dyDescent="0.25">
      <c r="B28" s="177"/>
      <c r="C28" s="177"/>
      <c r="D28" s="177"/>
      <c r="E28" s="177"/>
      <c r="F28" s="177"/>
    </row>
    <row r="29" spans="2:34" x14ac:dyDescent="0.25">
      <c r="B29" s="177"/>
      <c r="C29" s="177"/>
      <c r="D29" s="177"/>
      <c r="E29" s="177"/>
      <c r="F29" s="177"/>
    </row>
    <row r="30" spans="2:34" ht="15.75" x14ac:dyDescent="0.25">
      <c r="B30" s="177"/>
      <c r="C30" s="177"/>
      <c r="D30" s="177"/>
      <c r="E30" s="177"/>
      <c r="F30" s="177"/>
      <c r="G30" s="175"/>
      <c r="H30" s="175"/>
      <c r="I30" s="175"/>
      <c r="J30" s="175"/>
      <c r="K30" s="175"/>
      <c r="L30" s="175"/>
      <c r="M30" s="175"/>
      <c r="N30" s="175"/>
      <c r="O30" s="175"/>
      <c r="P30" s="175"/>
      <c r="Q30" s="175"/>
      <c r="R30" s="175"/>
      <c r="S30" s="175"/>
      <c r="T30" s="175"/>
      <c r="U30" s="175"/>
    </row>
    <row r="31" spans="2:34" ht="15.75" x14ac:dyDescent="0.25">
      <c r="E31" s="175"/>
      <c r="F31" s="175"/>
      <c r="G31" s="175"/>
      <c r="H31" s="175"/>
      <c r="I31" s="175"/>
      <c r="J31" s="175"/>
      <c r="K31" s="175"/>
      <c r="L31" s="175"/>
      <c r="M31" s="175"/>
      <c r="N31" s="175"/>
      <c r="O31" s="175"/>
      <c r="P31" s="175"/>
      <c r="Q31" s="175"/>
      <c r="R31" s="175"/>
      <c r="S31" s="175"/>
      <c r="T31" s="175"/>
      <c r="U31" s="175"/>
      <c r="V31" s="175"/>
    </row>
    <row r="33" spans="2:27" ht="18.75" x14ac:dyDescent="0.3">
      <c r="B33" s="299" t="s">
        <v>180</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row>
    <row r="34" spans="2:27" ht="15.75" x14ac:dyDescent="0.25">
      <c r="B34" s="300" t="s">
        <v>188</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row>
    <row r="37" spans="2:27" ht="15.75" x14ac:dyDescent="0.25">
      <c r="B37" s="421" t="s">
        <v>177</v>
      </c>
      <c r="C37" s="421"/>
      <c r="D37" s="421"/>
      <c r="E37" s="421"/>
      <c r="F37" s="215"/>
      <c r="G37" s="215"/>
    </row>
    <row r="38" spans="2:27" ht="30" customHeight="1" x14ac:dyDescent="0.25">
      <c r="B38" s="423" t="s">
        <v>399</v>
      </c>
      <c r="C38" s="423"/>
      <c r="D38" s="423"/>
      <c r="E38" s="423"/>
      <c r="F38" s="262"/>
      <c r="G38" s="262"/>
    </row>
    <row r="39" spans="2:27" ht="4.5" customHeight="1" x14ac:dyDescent="0.25"/>
    <row r="40" spans="2:27" ht="24.95" customHeight="1" x14ac:dyDescent="0.25">
      <c r="E40" s="228">
        <f>'ROI&amp;Efficiency Calculations'!B34</f>
        <v>4.4999999999999997E-3</v>
      </c>
      <c r="F40" s="174"/>
      <c r="G40" s="174"/>
    </row>
    <row r="55" spans="2:21" ht="15.75" x14ac:dyDescent="0.25">
      <c r="B55" s="421" t="s">
        <v>199</v>
      </c>
      <c r="C55" s="421"/>
      <c r="D55" s="421"/>
      <c r="E55" s="421"/>
      <c r="F55" s="215"/>
      <c r="G55" s="215"/>
    </row>
    <row r="56" spans="2:21" ht="30" customHeight="1" x14ac:dyDescent="0.25">
      <c r="B56" s="423" t="s">
        <v>398</v>
      </c>
      <c r="C56" s="423"/>
      <c r="D56" s="423"/>
      <c r="E56" s="423"/>
      <c r="F56" s="262"/>
      <c r="G56" s="262"/>
      <c r="H56" s="175"/>
      <c r="I56" s="175"/>
      <c r="J56" s="175"/>
      <c r="K56" s="175"/>
      <c r="L56" s="175"/>
      <c r="M56" s="175"/>
      <c r="N56" s="175"/>
      <c r="O56" s="175"/>
      <c r="P56" s="175"/>
      <c r="Q56" s="175"/>
      <c r="R56" s="175"/>
      <c r="S56" s="175"/>
      <c r="T56" s="175"/>
      <c r="U56" s="175"/>
    </row>
    <row r="57" spans="2:21" ht="4.5" customHeight="1" x14ac:dyDescent="0.25"/>
    <row r="58" spans="2:21" ht="24.95" customHeight="1" x14ac:dyDescent="0.25">
      <c r="E58" s="228">
        <f>'ROI&amp;Efficiency Calculations'!B52</f>
        <v>2.7E-2</v>
      </c>
      <c r="F58" s="174"/>
      <c r="G58" s="174"/>
    </row>
  </sheetData>
  <sheetProtection algorithmName="SHA-512" hashValue="OBiGWkY/RGC+Z3YOgxPv59dxD96tYHrOCq2x6GHVsWIsl5XJu+AXpzaRWX26EKN9ZIgn2tMvVggyqqGxU7Tdsg==" saltValue="ecOMChFIyU65vAqjlTzToQ==" spinCount="100000" sheet="1" objects="1" scenarios="1"/>
  <mergeCells count="9">
    <mergeCell ref="B11:G11"/>
    <mergeCell ref="AE11:AF11"/>
    <mergeCell ref="B56:E56"/>
    <mergeCell ref="F14:G20"/>
    <mergeCell ref="B22:G22"/>
    <mergeCell ref="AE23:AG23"/>
    <mergeCell ref="B37:E37"/>
    <mergeCell ref="B38:E38"/>
    <mergeCell ref="B55:E55"/>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Scroll Bar 1">
              <controlPr locked="0" defaultSize="0" autoPict="0">
                <anchor moveWithCells="1">
                  <from>
                    <xdr:col>1</xdr:col>
                    <xdr:colOff>9525</xdr:colOff>
                    <xdr:row>39</xdr:row>
                    <xdr:rowOff>0</xdr:rowOff>
                  </from>
                  <to>
                    <xdr:col>3</xdr:col>
                    <xdr:colOff>561975</xdr:colOff>
                    <xdr:row>39</xdr:row>
                    <xdr:rowOff>295275</xdr:rowOff>
                  </to>
                </anchor>
              </controlPr>
            </control>
          </mc:Choice>
        </mc:AlternateContent>
        <mc:AlternateContent xmlns:mc="http://schemas.openxmlformats.org/markup-compatibility/2006">
          <mc:Choice Requires="x14">
            <control shapeId="27650" r:id="rId5" name="Scroll Bar 2">
              <controlPr locked="0" defaultSize="0" autoPict="0">
                <anchor moveWithCells="1">
                  <from>
                    <xdr:col>1</xdr:col>
                    <xdr:colOff>9525</xdr:colOff>
                    <xdr:row>57</xdr:row>
                    <xdr:rowOff>0</xdr:rowOff>
                  </from>
                  <to>
                    <xdr:col>3</xdr:col>
                    <xdr:colOff>561975</xdr:colOff>
                    <xdr:row>57</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9B2C-4AE9-4B06-B811-8046EC87447B}">
  <sheetPr>
    <tabColor theme="1" tint="0.499984740745262"/>
  </sheetPr>
  <dimension ref="A1:Q79"/>
  <sheetViews>
    <sheetView showGridLines="0" zoomScaleNormal="100" workbookViewId="0"/>
  </sheetViews>
  <sheetFormatPr defaultColWidth="9.140625" defaultRowHeight="15" x14ac:dyDescent="0.25"/>
  <cols>
    <col min="1" max="1" width="1.7109375" style="243" customWidth="1"/>
    <col min="2" max="17" width="9.140625" style="239"/>
    <col min="18" max="16384" width="9.140625" style="243"/>
  </cols>
  <sheetData>
    <row r="1" spans="1:17" ht="18.75" x14ac:dyDescent="0.3">
      <c r="A1" s="280" t="s">
        <v>343</v>
      </c>
    </row>
    <row r="2" spans="1:17" x14ac:dyDescent="0.25">
      <c r="A2" s="281" t="s">
        <v>405</v>
      </c>
    </row>
    <row r="3" spans="1:17" x14ac:dyDescent="0.25">
      <c r="B3" s="247"/>
    </row>
    <row r="4" spans="1:17" ht="18.75" x14ac:dyDescent="0.25">
      <c r="B4" s="427" t="s">
        <v>264</v>
      </c>
      <c r="C4" s="427"/>
      <c r="D4" s="427"/>
      <c r="E4" s="427"/>
      <c r="F4" s="427"/>
      <c r="G4" s="427"/>
      <c r="H4" s="427"/>
      <c r="I4" s="427"/>
      <c r="J4" s="427"/>
      <c r="K4" s="427"/>
      <c r="L4" s="427"/>
      <c r="M4" s="427"/>
      <c r="N4" s="427"/>
      <c r="O4" s="427"/>
      <c r="P4" s="427"/>
      <c r="Q4" s="427"/>
    </row>
    <row r="5" spans="1:17" x14ac:dyDescent="0.25">
      <c r="B5" s="248"/>
    </row>
    <row r="6" spans="1:17" x14ac:dyDescent="0.25">
      <c r="B6" s="428" t="s">
        <v>356</v>
      </c>
      <c r="C6" s="428"/>
      <c r="D6" s="428"/>
      <c r="E6" s="428"/>
      <c r="F6" s="428"/>
      <c r="G6" s="428"/>
      <c r="H6" s="428"/>
      <c r="I6" s="428"/>
      <c r="J6" s="428"/>
      <c r="K6" s="428"/>
      <c r="L6" s="428"/>
      <c r="M6" s="428"/>
      <c r="N6" s="428"/>
      <c r="O6" s="428"/>
      <c r="P6" s="428"/>
      <c r="Q6" s="428"/>
    </row>
    <row r="7" spans="1:17" s="250" customFormat="1" ht="30" customHeight="1" x14ac:dyDescent="0.25">
      <c r="B7" s="429" t="s">
        <v>267</v>
      </c>
      <c r="C7" s="429"/>
      <c r="D7" s="429"/>
      <c r="E7" s="429"/>
      <c r="F7" s="429"/>
      <c r="G7" s="429"/>
      <c r="H7" s="429"/>
      <c r="I7" s="429"/>
      <c r="J7" s="429"/>
      <c r="K7" s="429"/>
      <c r="L7" s="429"/>
      <c r="M7" s="429"/>
      <c r="N7" s="429"/>
      <c r="O7" s="429"/>
      <c r="P7" s="429"/>
      <c r="Q7" s="429"/>
    </row>
    <row r="8" spans="1:17" s="249" customFormat="1" ht="20.100000000000001" customHeight="1" x14ac:dyDescent="0.25">
      <c r="B8" s="426" t="s">
        <v>271</v>
      </c>
      <c r="C8" s="426"/>
      <c r="D8" s="426"/>
      <c r="E8" s="426"/>
      <c r="F8" s="426"/>
      <c r="G8" s="426"/>
      <c r="H8" s="426"/>
      <c r="I8" s="426"/>
      <c r="J8" s="426"/>
      <c r="K8" s="426"/>
      <c r="L8" s="426"/>
      <c r="M8" s="426"/>
      <c r="N8" s="426"/>
      <c r="O8" s="426"/>
      <c r="P8" s="426"/>
      <c r="Q8" s="426"/>
    </row>
    <row r="9" spans="1:17" s="249" customFormat="1" ht="35.1" customHeight="1" x14ac:dyDescent="0.25">
      <c r="B9" s="430" t="s">
        <v>276</v>
      </c>
      <c r="C9" s="430"/>
      <c r="D9" s="430"/>
      <c r="E9" s="430"/>
      <c r="F9" s="430"/>
      <c r="G9" s="430"/>
      <c r="H9" s="430"/>
      <c r="I9" s="430"/>
      <c r="J9" s="430"/>
      <c r="K9" s="430"/>
      <c r="L9" s="430"/>
      <c r="M9" s="430"/>
      <c r="N9" s="430"/>
      <c r="O9" s="430"/>
      <c r="P9" s="430"/>
      <c r="Q9" s="430"/>
    </row>
    <row r="10" spans="1:17" s="249" customFormat="1" ht="30" customHeight="1" x14ac:dyDescent="0.25">
      <c r="B10" s="430" t="s">
        <v>287</v>
      </c>
      <c r="C10" s="430"/>
      <c r="D10" s="430"/>
      <c r="E10" s="430"/>
      <c r="F10" s="430"/>
      <c r="G10" s="430"/>
      <c r="H10" s="430"/>
      <c r="I10" s="430"/>
      <c r="J10" s="430"/>
      <c r="K10" s="430"/>
      <c r="L10" s="430"/>
      <c r="M10" s="430"/>
      <c r="N10" s="430"/>
      <c r="O10" s="430"/>
      <c r="P10" s="430"/>
      <c r="Q10" s="430"/>
    </row>
    <row r="12" spans="1:17" x14ac:dyDescent="0.25">
      <c r="B12" s="428" t="s">
        <v>377</v>
      </c>
      <c r="C12" s="428"/>
      <c r="D12" s="428"/>
      <c r="E12" s="428"/>
      <c r="F12" s="428"/>
      <c r="G12" s="428"/>
      <c r="H12" s="428"/>
      <c r="I12" s="428"/>
      <c r="J12" s="428"/>
      <c r="K12" s="428"/>
      <c r="L12" s="428"/>
      <c r="M12" s="428"/>
      <c r="N12" s="428"/>
      <c r="O12" s="428"/>
      <c r="P12" s="428"/>
      <c r="Q12" s="428"/>
    </row>
    <row r="13" spans="1:17" s="251" customFormat="1" ht="30" customHeight="1" x14ac:dyDescent="0.25">
      <c r="B13" s="431" t="s">
        <v>292</v>
      </c>
      <c r="C13" s="431"/>
      <c r="D13" s="431"/>
      <c r="E13" s="431"/>
      <c r="F13" s="431"/>
      <c r="G13" s="431"/>
      <c r="H13" s="431"/>
      <c r="I13" s="431"/>
      <c r="J13" s="431"/>
      <c r="K13" s="431"/>
      <c r="L13" s="431"/>
      <c r="M13" s="431"/>
      <c r="N13" s="431"/>
      <c r="O13" s="431"/>
      <c r="P13" s="431"/>
      <c r="Q13" s="431"/>
    </row>
    <row r="14" spans="1:17" ht="50.1" customHeight="1" x14ac:dyDescent="0.25">
      <c r="B14" s="426" t="s">
        <v>277</v>
      </c>
      <c r="C14" s="426"/>
      <c r="D14" s="426"/>
      <c r="E14" s="426"/>
      <c r="F14" s="426"/>
      <c r="G14" s="426"/>
      <c r="H14" s="426"/>
      <c r="I14" s="426"/>
      <c r="J14" s="426"/>
      <c r="K14" s="426"/>
      <c r="L14" s="426"/>
      <c r="M14" s="426"/>
      <c r="N14" s="426"/>
      <c r="O14" s="426"/>
      <c r="P14" s="426"/>
      <c r="Q14" s="426"/>
    </row>
    <row r="15" spans="1:17" ht="50.1" customHeight="1" x14ac:dyDescent="0.25">
      <c r="B15" s="426" t="s">
        <v>379</v>
      </c>
      <c r="C15" s="426"/>
      <c r="D15" s="426"/>
      <c r="E15" s="426"/>
      <c r="F15" s="426"/>
      <c r="G15" s="426"/>
      <c r="H15" s="426"/>
      <c r="I15" s="426"/>
      <c r="J15" s="426"/>
      <c r="K15" s="426"/>
      <c r="L15" s="426"/>
      <c r="M15" s="426"/>
      <c r="N15" s="426"/>
      <c r="O15" s="426"/>
      <c r="P15" s="426"/>
      <c r="Q15" s="426"/>
    </row>
    <row r="16" spans="1:17" ht="15" customHeight="1" x14ac:dyDescent="0.25">
      <c r="B16" s="432"/>
      <c r="C16" s="432"/>
      <c r="D16" s="432"/>
      <c r="E16" s="432"/>
      <c r="F16" s="432"/>
      <c r="G16" s="432"/>
      <c r="H16" s="432"/>
      <c r="I16" s="432"/>
      <c r="J16" s="432"/>
      <c r="K16" s="432"/>
      <c r="L16" s="432"/>
      <c r="M16" s="432"/>
      <c r="N16" s="432"/>
      <c r="O16" s="432"/>
      <c r="P16" s="432"/>
      <c r="Q16" s="432"/>
    </row>
    <row r="17" spans="2:17" x14ac:dyDescent="0.25">
      <c r="B17" s="428" t="s">
        <v>357</v>
      </c>
      <c r="C17" s="428"/>
      <c r="D17" s="428"/>
      <c r="E17" s="428"/>
      <c r="F17" s="428"/>
      <c r="G17" s="428"/>
      <c r="H17" s="428"/>
      <c r="I17" s="428"/>
      <c r="J17" s="428"/>
      <c r="K17" s="428"/>
      <c r="L17" s="428"/>
      <c r="M17" s="428"/>
      <c r="N17" s="428"/>
      <c r="O17" s="428"/>
      <c r="P17" s="428"/>
      <c r="Q17" s="428"/>
    </row>
    <row r="18" spans="2:17" s="251" customFormat="1" ht="30" customHeight="1" x14ac:dyDescent="0.25">
      <c r="B18" s="433" t="s">
        <v>305</v>
      </c>
      <c r="C18" s="434"/>
      <c r="D18" s="434"/>
      <c r="E18" s="434"/>
      <c r="F18" s="434"/>
      <c r="G18" s="434"/>
      <c r="H18" s="434"/>
      <c r="I18" s="434"/>
      <c r="J18" s="434"/>
      <c r="K18" s="434"/>
      <c r="L18" s="434"/>
      <c r="M18" s="434"/>
      <c r="N18" s="434"/>
      <c r="O18" s="434"/>
      <c r="P18" s="434"/>
      <c r="Q18" s="434"/>
    </row>
    <row r="19" spans="2:17" ht="35.1" customHeight="1" x14ac:dyDescent="0.25">
      <c r="B19" s="426" t="s">
        <v>306</v>
      </c>
      <c r="C19" s="426"/>
      <c r="D19" s="426"/>
      <c r="E19" s="426"/>
      <c r="F19" s="426"/>
      <c r="G19" s="426"/>
      <c r="H19" s="426"/>
      <c r="I19" s="426"/>
      <c r="J19" s="426"/>
      <c r="K19" s="426"/>
      <c r="L19" s="426"/>
      <c r="M19" s="426"/>
      <c r="N19" s="426"/>
      <c r="O19" s="426"/>
      <c r="P19" s="426"/>
      <c r="Q19" s="426"/>
    </row>
    <row r="20" spans="2:17" ht="20.100000000000001" customHeight="1" x14ac:dyDescent="0.25">
      <c r="B20" s="426" t="s">
        <v>269</v>
      </c>
      <c r="C20" s="426"/>
      <c r="D20" s="426"/>
      <c r="E20" s="426"/>
      <c r="F20" s="426"/>
      <c r="G20" s="426"/>
      <c r="H20" s="426"/>
      <c r="I20" s="426"/>
      <c r="J20" s="426"/>
      <c r="K20" s="426"/>
      <c r="L20" s="426"/>
      <c r="M20" s="426"/>
      <c r="N20" s="426"/>
      <c r="O20" s="426"/>
      <c r="P20" s="426"/>
      <c r="Q20" s="426"/>
    </row>
    <row r="21" spans="2:17" ht="75" customHeight="1" x14ac:dyDescent="0.25">
      <c r="B21" s="426" t="s">
        <v>355</v>
      </c>
      <c r="C21" s="426"/>
      <c r="D21" s="426"/>
      <c r="E21" s="426"/>
      <c r="F21" s="426"/>
      <c r="G21" s="426"/>
      <c r="H21" s="426"/>
      <c r="I21" s="426"/>
      <c r="J21" s="426"/>
      <c r="K21" s="426"/>
      <c r="L21" s="426"/>
      <c r="M21" s="426"/>
      <c r="N21" s="426"/>
      <c r="O21" s="426"/>
      <c r="P21" s="426"/>
      <c r="Q21" s="426"/>
    </row>
    <row r="22" spans="2:17" ht="50.1" customHeight="1" x14ac:dyDescent="0.25">
      <c r="B22" s="430" t="s">
        <v>293</v>
      </c>
      <c r="C22" s="430"/>
      <c r="D22" s="430"/>
      <c r="E22" s="430"/>
      <c r="F22" s="430"/>
      <c r="G22" s="430"/>
      <c r="H22" s="430"/>
      <c r="I22" s="430"/>
      <c r="J22" s="430"/>
      <c r="K22" s="430"/>
      <c r="L22" s="430"/>
      <c r="M22" s="430"/>
      <c r="N22" s="430"/>
      <c r="O22" s="430"/>
      <c r="P22" s="430"/>
      <c r="Q22" s="430"/>
    </row>
    <row r="23" spans="2:17" ht="35.1" customHeight="1" x14ac:dyDescent="0.25">
      <c r="B23" s="426" t="s">
        <v>294</v>
      </c>
      <c r="C23" s="426"/>
      <c r="D23" s="426"/>
      <c r="E23" s="426"/>
      <c r="F23" s="426"/>
      <c r="G23" s="426"/>
      <c r="H23" s="426"/>
      <c r="I23" s="426"/>
      <c r="J23" s="426"/>
      <c r="K23" s="426"/>
      <c r="L23" s="426"/>
      <c r="M23" s="426"/>
      <c r="N23" s="426"/>
      <c r="O23" s="426"/>
      <c r="P23" s="426"/>
      <c r="Q23" s="426"/>
    </row>
    <row r="24" spans="2:17" ht="30" customHeight="1" x14ac:dyDescent="0.25">
      <c r="B24" s="426" t="s">
        <v>295</v>
      </c>
      <c r="C24" s="426"/>
      <c r="D24" s="426"/>
      <c r="E24" s="426"/>
      <c r="F24" s="426"/>
      <c r="G24" s="426"/>
      <c r="H24" s="426"/>
      <c r="I24" s="426"/>
      <c r="J24" s="426"/>
      <c r="K24" s="426"/>
      <c r="L24" s="426"/>
      <c r="M24" s="426"/>
      <c r="N24" s="426"/>
      <c r="O24" s="426"/>
      <c r="P24" s="426"/>
      <c r="Q24" s="426"/>
    </row>
    <row r="26" spans="2:17" x14ac:dyDescent="0.25">
      <c r="B26" s="428" t="s">
        <v>358</v>
      </c>
      <c r="C26" s="428"/>
      <c r="D26" s="428"/>
      <c r="E26" s="428"/>
      <c r="F26" s="428"/>
      <c r="G26" s="428"/>
      <c r="H26" s="428"/>
      <c r="I26" s="428"/>
      <c r="J26" s="428"/>
      <c r="K26" s="428"/>
      <c r="L26" s="428"/>
      <c r="M26" s="428"/>
      <c r="N26" s="428"/>
      <c r="O26" s="428"/>
      <c r="P26" s="428"/>
      <c r="Q26" s="428"/>
    </row>
    <row r="27" spans="2:17" s="251" customFormat="1" ht="30" customHeight="1" x14ac:dyDescent="0.25">
      <c r="B27" s="433" t="s">
        <v>278</v>
      </c>
      <c r="C27" s="434"/>
      <c r="D27" s="434"/>
      <c r="E27" s="434"/>
      <c r="F27" s="434"/>
      <c r="G27" s="434"/>
      <c r="H27" s="434"/>
      <c r="I27" s="434"/>
      <c r="J27" s="434"/>
      <c r="K27" s="434"/>
      <c r="L27" s="434"/>
      <c r="M27" s="434"/>
      <c r="N27" s="434"/>
      <c r="O27" s="434"/>
      <c r="P27" s="434"/>
      <c r="Q27" s="434"/>
    </row>
    <row r="28" spans="2:17" ht="60" customHeight="1" x14ac:dyDescent="0.25">
      <c r="B28" s="426" t="s">
        <v>307</v>
      </c>
      <c r="C28" s="426"/>
      <c r="D28" s="426"/>
      <c r="E28" s="426"/>
      <c r="F28" s="426"/>
      <c r="G28" s="426"/>
      <c r="H28" s="426"/>
      <c r="I28" s="426"/>
      <c r="J28" s="426"/>
      <c r="K28" s="426"/>
      <c r="L28" s="426"/>
      <c r="M28" s="426"/>
      <c r="N28" s="426"/>
      <c r="O28" s="426"/>
      <c r="P28" s="426"/>
      <c r="Q28" s="426"/>
    </row>
    <row r="29" spans="2:17" ht="20.100000000000001" customHeight="1" x14ac:dyDescent="0.25">
      <c r="B29" s="426" t="s">
        <v>284</v>
      </c>
      <c r="C29" s="426"/>
      <c r="D29" s="426"/>
      <c r="E29" s="426"/>
      <c r="F29" s="426"/>
      <c r="G29" s="426"/>
      <c r="H29" s="426"/>
      <c r="I29" s="426"/>
      <c r="J29" s="426"/>
      <c r="K29" s="426"/>
      <c r="L29" s="426"/>
      <c r="M29" s="426"/>
      <c r="N29" s="426"/>
      <c r="O29" s="426"/>
      <c r="P29" s="426"/>
      <c r="Q29" s="426"/>
    </row>
    <row r="30" spans="2:17" ht="50.1" customHeight="1" x14ac:dyDescent="0.25">
      <c r="B30" s="430" t="s">
        <v>308</v>
      </c>
      <c r="C30" s="430"/>
      <c r="D30" s="430"/>
      <c r="E30" s="430"/>
      <c r="F30" s="430"/>
      <c r="G30" s="430"/>
      <c r="H30" s="430"/>
      <c r="I30" s="430"/>
      <c r="J30" s="430"/>
      <c r="K30" s="430"/>
      <c r="L30" s="430"/>
      <c r="M30" s="430"/>
      <c r="N30" s="430"/>
      <c r="O30" s="430"/>
      <c r="P30" s="430"/>
      <c r="Q30" s="430"/>
    </row>
    <row r="31" spans="2:17" ht="15" customHeight="1" x14ac:dyDescent="0.25">
      <c r="B31" s="430" t="s">
        <v>272</v>
      </c>
      <c r="C31" s="430"/>
      <c r="D31" s="430"/>
      <c r="E31" s="430"/>
      <c r="F31" s="430"/>
      <c r="G31" s="430"/>
      <c r="H31" s="430"/>
      <c r="I31" s="430"/>
      <c r="J31" s="430"/>
      <c r="K31" s="430"/>
      <c r="L31" s="430"/>
      <c r="M31" s="430"/>
      <c r="N31" s="430"/>
      <c r="O31" s="430"/>
      <c r="P31" s="430"/>
      <c r="Q31" s="430"/>
    </row>
    <row r="32" spans="2:17" ht="35.1" customHeight="1" x14ac:dyDescent="0.25">
      <c r="B32" s="435" t="s">
        <v>279</v>
      </c>
      <c r="C32" s="435"/>
      <c r="D32" s="435"/>
      <c r="E32" s="435"/>
      <c r="F32" s="435"/>
      <c r="G32" s="435"/>
      <c r="H32" s="435"/>
      <c r="I32" s="435"/>
      <c r="J32" s="435"/>
      <c r="K32" s="435"/>
      <c r="L32" s="435"/>
      <c r="M32" s="435"/>
      <c r="N32" s="435"/>
      <c r="O32" s="435"/>
      <c r="P32" s="435"/>
      <c r="Q32" s="435"/>
    </row>
    <row r="33" spans="2:17" ht="35.1" customHeight="1" x14ac:dyDescent="0.25">
      <c r="B33" s="435" t="s">
        <v>280</v>
      </c>
      <c r="C33" s="435"/>
      <c r="D33" s="435"/>
      <c r="E33" s="435"/>
      <c r="F33" s="435"/>
      <c r="G33" s="435"/>
      <c r="H33" s="435"/>
      <c r="I33" s="435"/>
      <c r="J33" s="435"/>
      <c r="K33" s="435"/>
      <c r="L33" s="435"/>
      <c r="M33" s="435"/>
      <c r="N33" s="435"/>
      <c r="O33" s="435"/>
      <c r="P33" s="435"/>
      <c r="Q33" s="435"/>
    </row>
    <row r="34" spans="2:17" ht="20.100000000000001" customHeight="1" x14ac:dyDescent="0.25">
      <c r="B34" s="430" t="s">
        <v>296</v>
      </c>
      <c r="C34" s="430"/>
      <c r="D34" s="430"/>
      <c r="E34" s="430"/>
      <c r="F34" s="430"/>
      <c r="G34" s="430"/>
      <c r="H34" s="430"/>
      <c r="I34" s="430"/>
      <c r="J34" s="430"/>
      <c r="K34" s="430"/>
      <c r="L34" s="430"/>
      <c r="M34" s="430"/>
      <c r="N34" s="430"/>
      <c r="O34" s="430"/>
      <c r="P34" s="430"/>
      <c r="Q34" s="430"/>
    </row>
    <row r="35" spans="2:17" ht="45" customHeight="1" x14ac:dyDescent="0.25">
      <c r="B35" s="430" t="s">
        <v>297</v>
      </c>
      <c r="C35" s="430"/>
      <c r="D35" s="430"/>
      <c r="E35" s="430"/>
      <c r="F35" s="430"/>
      <c r="G35" s="430"/>
      <c r="H35" s="430"/>
      <c r="I35" s="430"/>
      <c r="J35" s="430"/>
      <c r="K35" s="430"/>
      <c r="L35" s="430"/>
      <c r="M35" s="430"/>
      <c r="N35" s="430"/>
      <c r="O35" s="430"/>
      <c r="P35" s="430"/>
      <c r="Q35" s="430"/>
    </row>
    <row r="36" spans="2:17" ht="35.1" customHeight="1" x14ac:dyDescent="0.25">
      <c r="B36" s="426" t="s">
        <v>285</v>
      </c>
      <c r="C36" s="426"/>
      <c r="D36" s="426"/>
      <c r="E36" s="426"/>
      <c r="F36" s="426"/>
      <c r="G36" s="426"/>
      <c r="H36" s="426"/>
      <c r="I36" s="426"/>
      <c r="J36" s="426"/>
      <c r="K36" s="426"/>
      <c r="L36" s="426"/>
      <c r="M36" s="426"/>
      <c r="N36" s="426"/>
      <c r="O36" s="426"/>
      <c r="P36" s="426"/>
      <c r="Q36" s="426"/>
    </row>
    <row r="37" spans="2:17" ht="50.1" customHeight="1" x14ac:dyDescent="0.25">
      <c r="B37" s="430" t="s">
        <v>298</v>
      </c>
      <c r="C37" s="430"/>
      <c r="D37" s="430"/>
      <c r="E37" s="430"/>
      <c r="F37" s="430"/>
      <c r="G37" s="430"/>
      <c r="H37" s="430"/>
      <c r="I37" s="430"/>
      <c r="J37" s="430"/>
      <c r="K37" s="430"/>
      <c r="L37" s="430"/>
      <c r="M37" s="430"/>
      <c r="N37" s="430"/>
      <c r="O37" s="430"/>
      <c r="P37" s="430"/>
      <c r="Q37" s="430"/>
    </row>
    <row r="38" spans="2:17" ht="15" customHeight="1" x14ac:dyDescent="0.25">
      <c r="B38" s="430" t="s">
        <v>273</v>
      </c>
      <c r="C38" s="430"/>
      <c r="D38" s="430"/>
      <c r="E38" s="430"/>
      <c r="F38" s="430"/>
      <c r="G38" s="430"/>
      <c r="H38" s="430"/>
      <c r="I38" s="430"/>
      <c r="J38" s="430"/>
      <c r="K38" s="430"/>
      <c r="L38" s="430"/>
      <c r="M38" s="430"/>
      <c r="N38" s="430"/>
      <c r="O38" s="430"/>
      <c r="P38" s="430"/>
      <c r="Q38" s="430"/>
    </row>
    <row r="40" spans="2:17" x14ac:dyDescent="0.25">
      <c r="B40" s="428" t="s">
        <v>359</v>
      </c>
      <c r="C40" s="428"/>
      <c r="D40" s="428"/>
      <c r="E40" s="428"/>
      <c r="F40" s="428"/>
      <c r="G40" s="428"/>
      <c r="H40" s="428"/>
      <c r="I40" s="428"/>
      <c r="J40" s="428"/>
      <c r="K40" s="428"/>
      <c r="L40" s="428"/>
      <c r="M40" s="428"/>
      <c r="N40" s="428"/>
      <c r="O40" s="428"/>
      <c r="P40" s="428"/>
      <c r="Q40" s="428"/>
    </row>
    <row r="41" spans="2:17" s="251" customFormat="1" ht="30" customHeight="1" x14ac:dyDescent="0.25">
      <c r="B41" s="433" t="s">
        <v>281</v>
      </c>
      <c r="C41" s="434"/>
      <c r="D41" s="434"/>
      <c r="E41" s="434"/>
      <c r="F41" s="434"/>
      <c r="G41" s="434"/>
      <c r="H41" s="434"/>
      <c r="I41" s="434"/>
      <c r="J41" s="434"/>
      <c r="K41" s="434"/>
      <c r="L41" s="434"/>
      <c r="M41" s="434"/>
      <c r="N41" s="434"/>
      <c r="O41" s="434"/>
      <c r="P41" s="434"/>
      <c r="Q41" s="434"/>
    </row>
    <row r="42" spans="2:17" ht="20.100000000000001" customHeight="1" x14ac:dyDescent="0.25">
      <c r="B42" s="426" t="s">
        <v>288</v>
      </c>
      <c r="C42" s="426"/>
      <c r="D42" s="426"/>
      <c r="E42" s="426"/>
      <c r="F42" s="426"/>
      <c r="G42" s="426"/>
      <c r="H42" s="426"/>
      <c r="I42" s="426"/>
      <c r="J42" s="426"/>
      <c r="K42" s="426"/>
      <c r="L42" s="426"/>
      <c r="M42" s="426"/>
      <c r="N42" s="426"/>
      <c r="O42" s="426"/>
      <c r="P42" s="426"/>
      <c r="Q42" s="426"/>
    </row>
    <row r="43" spans="2:17" ht="35.1" customHeight="1" x14ac:dyDescent="0.25">
      <c r="B43" s="426" t="s">
        <v>274</v>
      </c>
      <c r="C43" s="426"/>
      <c r="D43" s="426"/>
      <c r="E43" s="426"/>
      <c r="F43" s="426"/>
      <c r="G43" s="426"/>
      <c r="H43" s="426"/>
      <c r="I43" s="426"/>
      <c r="J43" s="426"/>
      <c r="K43" s="426"/>
      <c r="L43" s="426"/>
      <c r="M43" s="426"/>
      <c r="N43" s="426"/>
      <c r="O43" s="426"/>
      <c r="P43" s="426"/>
      <c r="Q43" s="426"/>
    </row>
    <row r="44" spans="2:17" ht="35.1" customHeight="1" x14ac:dyDescent="0.25">
      <c r="B44" s="426" t="s">
        <v>282</v>
      </c>
      <c r="C44" s="426"/>
      <c r="D44" s="426"/>
      <c r="E44" s="426"/>
      <c r="F44" s="426"/>
      <c r="G44" s="426"/>
      <c r="H44" s="426"/>
      <c r="I44" s="426"/>
      <c r="J44" s="426"/>
      <c r="K44" s="426"/>
      <c r="L44" s="426"/>
      <c r="M44" s="426"/>
      <c r="N44" s="426"/>
      <c r="O44" s="426"/>
      <c r="P44" s="426"/>
      <c r="Q44" s="426"/>
    </row>
    <row r="45" spans="2:17" ht="65.099999999999994" customHeight="1" x14ac:dyDescent="0.25">
      <c r="B45" s="426" t="s">
        <v>382</v>
      </c>
      <c r="C45" s="426"/>
      <c r="D45" s="426"/>
      <c r="E45" s="426"/>
      <c r="F45" s="426"/>
      <c r="G45" s="426"/>
      <c r="H45" s="426"/>
      <c r="I45" s="426"/>
      <c r="J45" s="426"/>
      <c r="K45" s="426"/>
      <c r="L45" s="426"/>
      <c r="M45" s="426"/>
      <c r="N45" s="426"/>
      <c r="O45" s="426"/>
      <c r="P45" s="426"/>
      <c r="Q45" s="426"/>
    </row>
    <row r="46" spans="2:17" ht="35.1" customHeight="1" x14ac:dyDescent="0.25">
      <c r="B46" s="426" t="s">
        <v>283</v>
      </c>
      <c r="C46" s="426"/>
      <c r="D46" s="426"/>
      <c r="E46" s="426"/>
      <c r="F46" s="426"/>
      <c r="G46" s="426"/>
      <c r="H46" s="426"/>
      <c r="I46" s="426"/>
      <c r="J46" s="426"/>
      <c r="K46" s="426"/>
      <c r="L46" s="426"/>
      <c r="M46" s="426"/>
      <c r="N46" s="426"/>
      <c r="O46" s="426"/>
      <c r="P46" s="426"/>
      <c r="Q46" s="426"/>
    </row>
    <row r="48" spans="2:17" ht="18.75" x14ac:dyDescent="0.25">
      <c r="B48" s="427" t="s">
        <v>286</v>
      </c>
      <c r="C48" s="427"/>
      <c r="D48" s="427"/>
      <c r="E48" s="427"/>
      <c r="F48" s="427"/>
      <c r="G48" s="427"/>
      <c r="H48" s="427"/>
      <c r="I48" s="427"/>
      <c r="J48" s="427"/>
      <c r="K48" s="427"/>
      <c r="L48" s="427"/>
      <c r="M48" s="427"/>
      <c r="N48" s="427"/>
      <c r="O48" s="427"/>
      <c r="P48" s="427"/>
      <c r="Q48" s="427"/>
    </row>
    <row r="49" spans="2:17" x14ac:dyDescent="0.25">
      <c r="B49" s="248"/>
    </row>
    <row r="50" spans="2:17" s="250" customFormat="1" ht="45" customHeight="1" x14ac:dyDescent="0.25">
      <c r="B50" s="429" t="s">
        <v>373</v>
      </c>
      <c r="C50" s="429"/>
      <c r="D50" s="429"/>
      <c r="E50" s="429"/>
      <c r="F50" s="429"/>
      <c r="G50" s="429"/>
      <c r="H50" s="429"/>
      <c r="I50" s="429"/>
      <c r="J50" s="429"/>
      <c r="K50" s="429"/>
      <c r="L50" s="429"/>
      <c r="M50" s="429"/>
      <c r="N50" s="429"/>
      <c r="O50" s="429"/>
      <c r="P50" s="429"/>
      <c r="Q50" s="429"/>
    </row>
    <row r="51" spans="2:17" s="250" customFormat="1" ht="24.95" customHeight="1" x14ac:dyDescent="0.25">
      <c r="B51" s="437" t="s">
        <v>375</v>
      </c>
      <c r="C51" s="437"/>
      <c r="D51" s="437"/>
      <c r="E51" s="437"/>
      <c r="F51" s="437"/>
      <c r="G51" s="437"/>
      <c r="H51" s="437"/>
      <c r="I51" s="437"/>
      <c r="J51" s="437"/>
      <c r="K51" s="437"/>
      <c r="L51" s="437"/>
      <c r="M51" s="437"/>
      <c r="N51" s="437"/>
      <c r="O51" s="437"/>
      <c r="P51" s="437"/>
      <c r="Q51" s="437"/>
    </row>
    <row r="52" spans="2:17" s="250" customFormat="1" ht="24.95" customHeight="1" x14ac:dyDescent="0.25">
      <c r="B52" s="438" t="s">
        <v>300</v>
      </c>
      <c r="C52" s="438"/>
      <c r="D52" s="438"/>
      <c r="E52" s="438"/>
      <c r="F52" s="438"/>
      <c r="G52" s="438"/>
      <c r="H52" s="438"/>
      <c r="I52" s="438"/>
      <c r="J52" s="438"/>
      <c r="K52" s="438"/>
      <c r="L52" s="438"/>
      <c r="M52" s="438"/>
      <c r="N52" s="438"/>
      <c r="O52" s="438"/>
      <c r="P52" s="438"/>
      <c r="Q52" s="438"/>
    </row>
    <row r="53" spans="2:17" s="250" customFormat="1" ht="39.950000000000003" customHeight="1" x14ac:dyDescent="0.25">
      <c r="B53" s="439" t="s">
        <v>368</v>
      </c>
      <c r="C53" s="439"/>
      <c r="D53" s="439"/>
      <c r="E53" s="439"/>
      <c r="F53" s="439"/>
      <c r="G53" s="439"/>
      <c r="H53" s="439"/>
      <c r="I53" s="439"/>
      <c r="J53" s="439"/>
      <c r="K53" s="439"/>
      <c r="L53" s="439"/>
      <c r="M53" s="439"/>
      <c r="N53" s="439"/>
      <c r="O53" s="439"/>
      <c r="P53" s="439"/>
      <c r="Q53" s="439"/>
    </row>
    <row r="54" spans="2:17" s="249" customFormat="1" ht="50.1" customHeight="1" x14ac:dyDescent="0.25">
      <c r="B54" s="440" t="s">
        <v>401</v>
      </c>
      <c r="C54" s="440"/>
      <c r="D54" s="440"/>
      <c r="E54" s="440"/>
      <c r="F54" s="440"/>
      <c r="G54" s="440"/>
      <c r="H54" s="440"/>
      <c r="I54" s="440"/>
      <c r="J54" s="440"/>
      <c r="K54" s="440"/>
      <c r="L54" s="440"/>
      <c r="M54" s="440"/>
      <c r="N54" s="440"/>
      <c r="O54" s="440"/>
      <c r="P54" s="440"/>
      <c r="Q54" s="440"/>
    </row>
    <row r="55" spans="2:17" s="252" customFormat="1" ht="35.1" customHeight="1" x14ac:dyDescent="0.25">
      <c r="B55" s="436" t="s">
        <v>309</v>
      </c>
      <c r="C55" s="436"/>
      <c r="D55" s="436"/>
      <c r="E55" s="436"/>
      <c r="F55" s="436"/>
      <c r="G55" s="436"/>
      <c r="H55" s="436"/>
      <c r="I55" s="436"/>
      <c r="J55" s="436"/>
      <c r="K55" s="436"/>
      <c r="L55" s="436"/>
      <c r="M55" s="436"/>
      <c r="N55" s="436"/>
      <c r="O55" s="436"/>
      <c r="P55" s="436"/>
      <c r="Q55" s="436"/>
    </row>
    <row r="56" spans="2:17" s="249" customFormat="1" ht="35.1" customHeight="1" x14ac:dyDescent="0.25">
      <c r="B56" s="440" t="s">
        <v>402</v>
      </c>
      <c r="C56" s="440"/>
      <c r="D56" s="440"/>
      <c r="E56" s="440"/>
      <c r="F56" s="440"/>
      <c r="G56" s="440"/>
      <c r="H56" s="440"/>
      <c r="I56" s="440"/>
      <c r="J56" s="440"/>
      <c r="K56" s="440"/>
      <c r="L56" s="440"/>
      <c r="M56" s="440"/>
      <c r="N56" s="440"/>
      <c r="O56" s="440"/>
      <c r="P56" s="440"/>
      <c r="Q56" s="440"/>
    </row>
    <row r="57" spans="2:17" s="252" customFormat="1" ht="20.100000000000001" customHeight="1" x14ac:dyDescent="0.25">
      <c r="B57" s="436" t="s">
        <v>302</v>
      </c>
      <c r="C57" s="436"/>
      <c r="D57" s="436"/>
      <c r="E57" s="436"/>
      <c r="F57" s="436"/>
      <c r="G57" s="436"/>
      <c r="H57" s="436"/>
      <c r="I57" s="436"/>
      <c r="J57" s="436"/>
      <c r="K57" s="436"/>
      <c r="L57" s="436"/>
      <c r="M57" s="436"/>
      <c r="N57" s="436"/>
      <c r="O57" s="436"/>
      <c r="P57" s="436"/>
      <c r="Q57" s="436"/>
    </row>
    <row r="58" spans="2:17" s="254" customFormat="1" ht="30" customHeight="1" x14ac:dyDescent="0.25">
      <c r="B58" s="441" t="s">
        <v>360</v>
      </c>
      <c r="C58" s="441"/>
      <c r="D58" s="441"/>
      <c r="E58" s="441"/>
      <c r="F58" s="441"/>
      <c r="G58" s="441"/>
      <c r="H58" s="441"/>
      <c r="I58" s="441"/>
      <c r="J58" s="441"/>
      <c r="K58" s="441"/>
      <c r="L58" s="441"/>
      <c r="M58" s="441"/>
      <c r="N58" s="441"/>
      <c r="O58" s="441"/>
      <c r="P58" s="441"/>
      <c r="Q58" s="441"/>
    </row>
    <row r="59" spans="2:17" s="250" customFormat="1" ht="24.95" customHeight="1" x14ac:dyDescent="0.25">
      <c r="B59" s="438" t="s">
        <v>301</v>
      </c>
      <c r="C59" s="438"/>
      <c r="D59" s="438"/>
      <c r="E59" s="438"/>
      <c r="F59" s="438"/>
      <c r="G59" s="438"/>
      <c r="H59" s="438"/>
      <c r="I59" s="438"/>
      <c r="J59" s="438"/>
      <c r="K59" s="438"/>
      <c r="L59" s="438"/>
      <c r="M59" s="438"/>
      <c r="N59" s="438"/>
      <c r="O59" s="438"/>
      <c r="P59" s="438"/>
      <c r="Q59" s="438"/>
    </row>
    <row r="60" spans="2:17" s="253" customFormat="1" ht="39.950000000000003" customHeight="1" x14ac:dyDescent="0.25">
      <c r="B60" s="439" t="s">
        <v>363</v>
      </c>
      <c r="C60" s="439"/>
      <c r="D60" s="439"/>
      <c r="E60" s="439"/>
      <c r="F60" s="439"/>
      <c r="G60" s="439"/>
      <c r="H60" s="439"/>
      <c r="I60" s="439"/>
      <c r="J60" s="439"/>
      <c r="K60" s="439"/>
      <c r="L60" s="439"/>
      <c r="M60" s="439"/>
      <c r="N60" s="439"/>
      <c r="O60" s="439"/>
      <c r="P60" s="439"/>
      <c r="Q60" s="439"/>
    </row>
    <row r="61" spans="2:17" s="249" customFormat="1" ht="30" customHeight="1" x14ac:dyDescent="0.25">
      <c r="B61" s="440" t="s">
        <v>362</v>
      </c>
      <c r="C61" s="440"/>
      <c r="D61" s="440"/>
      <c r="E61" s="440"/>
      <c r="F61" s="440"/>
      <c r="G61" s="440"/>
      <c r="H61" s="440"/>
      <c r="I61" s="440"/>
      <c r="J61" s="440"/>
      <c r="K61" s="440"/>
      <c r="L61" s="440"/>
      <c r="M61" s="440"/>
      <c r="N61" s="440"/>
      <c r="O61" s="440"/>
      <c r="P61" s="440"/>
      <c r="Q61" s="440"/>
    </row>
    <row r="62" spans="2:17" s="252" customFormat="1" ht="20.100000000000001" customHeight="1" x14ac:dyDescent="0.25">
      <c r="B62" s="436" t="s">
        <v>303</v>
      </c>
      <c r="C62" s="436"/>
      <c r="D62" s="436"/>
      <c r="E62" s="436"/>
      <c r="F62" s="436"/>
      <c r="G62" s="436"/>
      <c r="H62" s="436"/>
      <c r="I62" s="436"/>
      <c r="J62" s="436"/>
      <c r="K62" s="436"/>
      <c r="L62" s="436"/>
      <c r="M62" s="436"/>
      <c r="N62" s="436"/>
      <c r="O62" s="436"/>
      <c r="P62" s="436"/>
      <c r="Q62" s="436"/>
    </row>
    <row r="63" spans="2:17" s="249" customFormat="1" ht="50.1" customHeight="1" x14ac:dyDescent="0.25">
      <c r="B63" s="430" t="s">
        <v>364</v>
      </c>
      <c r="C63" s="430"/>
      <c r="D63" s="430"/>
      <c r="E63" s="430"/>
      <c r="F63" s="430"/>
      <c r="G63" s="430"/>
      <c r="H63" s="430"/>
      <c r="I63" s="430"/>
      <c r="J63" s="430"/>
      <c r="K63" s="430"/>
      <c r="L63" s="430"/>
      <c r="M63" s="430"/>
      <c r="N63" s="430"/>
      <c r="O63" s="430"/>
      <c r="P63" s="430"/>
      <c r="Q63" s="430"/>
    </row>
    <row r="64" spans="2:17" s="253" customFormat="1" ht="24.95" customHeight="1" x14ac:dyDescent="0.25">
      <c r="B64" s="439" t="s">
        <v>367</v>
      </c>
      <c r="C64" s="439"/>
      <c r="D64" s="439"/>
      <c r="E64" s="439"/>
      <c r="F64" s="439"/>
      <c r="G64" s="439"/>
      <c r="H64" s="439"/>
      <c r="I64" s="439"/>
      <c r="J64" s="439"/>
      <c r="K64" s="439"/>
      <c r="L64" s="439"/>
      <c r="M64" s="439"/>
      <c r="N64" s="439"/>
      <c r="O64" s="439"/>
      <c r="P64" s="439"/>
      <c r="Q64" s="439"/>
    </row>
    <row r="65" spans="2:17" s="249" customFormat="1" ht="30" customHeight="1" x14ac:dyDescent="0.25">
      <c r="B65" s="440" t="s">
        <v>365</v>
      </c>
      <c r="C65" s="440"/>
      <c r="D65" s="440"/>
      <c r="E65" s="440"/>
      <c r="F65" s="440"/>
      <c r="G65" s="440"/>
      <c r="H65" s="440"/>
      <c r="I65" s="440"/>
      <c r="J65" s="440"/>
      <c r="K65" s="440"/>
      <c r="L65" s="440"/>
      <c r="M65" s="440"/>
      <c r="N65" s="440"/>
      <c r="O65" s="440"/>
      <c r="P65" s="440"/>
      <c r="Q65" s="440"/>
    </row>
    <row r="66" spans="2:17" s="252" customFormat="1" ht="35.1" customHeight="1" x14ac:dyDescent="0.25">
      <c r="B66" s="436" t="s">
        <v>374</v>
      </c>
      <c r="C66" s="436"/>
      <c r="D66" s="436"/>
      <c r="E66" s="436"/>
      <c r="F66" s="436"/>
      <c r="G66" s="436"/>
      <c r="H66" s="436"/>
      <c r="I66" s="436"/>
      <c r="J66" s="436"/>
      <c r="K66" s="436"/>
      <c r="L66" s="436"/>
      <c r="M66" s="436"/>
      <c r="N66" s="436"/>
      <c r="O66" s="436"/>
      <c r="P66" s="436"/>
      <c r="Q66" s="436"/>
    </row>
    <row r="67" spans="2:17" s="249" customFormat="1" ht="65.099999999999994" customHeight="1" x14ac:dyDescent="0.25">
      <c r="B67" s="430" t="s">
        <v>366</v>
      </c>
      <c r="C67" s="430"/>
      <c r="D67" s="430"/>
      <c r="E67" s="430"/>
      <c r="F67" s="430"/>
      <c r="G67" s="430"/>
      <c r="H67" s="430"/>
      <c r="I67" s="430"/>
      <c r="J67" s="430"/>
      <c r="K67" s="430"/>
      <c r="L67" s="430"/>
      <c r="M67" s="430"/>
      <c r="N67" s="430"/>
      <c r="O67" s="430"/>
      <c r="P67" s="430"/>
      <c r="Q67" s="430"/>
    </row>
    <row r="69" spans="2:17" ht="18.75" x14ac:dyDescent="0.25">
      <c r="B69" s="427" t="s">
        <v>371</v>
      </c>
      <c r="C69" s="427"/>
      <c r="D69" s="427"/>
      <c r="E69" s="427"/>
      <c r="F69" s="427"/>
      <c r="G69" s="427"/>
      <c r="H69" s="427"/>
      <c r="I69" s="427"/>
      <c r="J69" s="427"/>
      <c r="K69" s="427"/>
      <c r="L69" s="427"/>
      <c r="M69" s="427"/>
      <c r="N69" s="427"/>
      <c r="O69" s="427"/>
      <c r="P69" s="427"/>
      <c r="Q69" s="427"/>
    </row>
    <row r="70" spans="2:17" x14ac:dyDescent="0.25">
      <c r="B70" s="248"/>
    </row>
    <row r="71" spans="2:17" s="250" customFormat="1" ht="45" customHeight="1" x14ac:dyDescent="0.25">
      <c r="B71" s="444" t="s">
        <v>372</v>
      </c>
      <c r="C71" s="444"/>
      <c r="D71" s="444"/>
      <c r="E71" s="444"/>
      <c r="F71" s="444"/>
      <c r="G71" s="444"/>
      <c r="H71" s="444"/>
      <c r="I71" s="444"/>
      <c r="J71" s="444"/>
      <c r="K71" s="444"/>
      <c r="L71" s="444"/>
      <c r="M71" s="444"/>
      <c r="N71" s="444"/>
      <c r="O71" s="444"/>
      <c r="P71" s="444"/>
      <c r="Q71" s="444"/>
    </row>
    <row r="72" spans="2:17" s="250" customFormat="1" ht="24.95" customHeight="1" x14ac:dyDescent="0.25">
      <c r="B72" s="437" t="s">
        <v>376</v>
      </c>
      <c r="C72" s="437"/>
      <c r="D72" s="437"/>
      <c r="E72" s="437"/>
      <c r="F72" s="437"/>
      <c r="G72" s="437"/>
      <c r="H72" s="437"/>
      <c r="I72" s="437"/>
      <c r="J72" s="437"/>
      <c r="K72" s="437"/>
      <c r="L72" s="437"/>
      <c r="M72" s="437"/>
      <c r="N72" s="437"/>
      <c r="O72" s="437"/>
      <c r="P72" s="437"/>
      <c r="Q72" s="437"/>
    </row>
    <row r="73" spans="2:17" s="250" customFormat="1" ht="60" customHeight="1" x14ac:dyDescent="0.25">
      <c r="B73" s="445" t="s">
        <v>299</v>
      </c>
      <c r="C73" s="445"/>
      <c r="D73" s="445"/>
      <c r="E73" s="445"/>
      <c r="F73" s="445"/>
      <c r="G73" s="445"/>
      <c r="H73" s="445"/>
      <c r="I73" s="445"/>
      <c r="J73" s="445"/>
      <c r="K73" s="445"/>
      <c r="L73" s="445"/>
      <c r="M73" s="445"/>
      <c r="N73" s="445"/>
      <c r="O73" s="445"/>
      <c r="P73" s="445"/>
      <c r="Q73" s="445"/>
    </row>
    <row r="74" spans="2:17" s="250" customFormat="1" ht="39.950000000000003" customHeight="1" x14ac:dyDescent="0.25">
      <c r="B74" s="439" t="s">
        <v>369</v>
      </c>
      <c r="C74" s="439"/>
      <c r="D74" s="439"/>
      <c r="E74" s="439"/>
      <c r="F74" s="439"/>
      <c r="G74" s="439"/>
      <c r="H74" s="439"/>
      <c r="I74" s="439"/>
      <c r="J74" s="439"/>
      <c r="K74" s="439"/>
      <c r="L74" s="439"/>
      <c r="M74" s="439"/>
      <c r="N74" s="439"/>
      <c r="O74" s="439"/>
      <c r="P74" s="439"/>
      <c r="Q74" s="439"/>
    </row>
    <row r="75" spans="2:17" s="249" customFormat="1" ht="50.1" customHeight="1" x14ac:dyDescent="0.25">
      <c r="B75" s="430" t="s">
        <v>361</v>
      </c>
      <c r="C75" s="430"/>
      <c r="D75" s="430"/>
      <c r="E75" s="430"/>
      <c r="F75" s="430"/>
      <c r="G75" s="430"/>
      <c r="H75" s="430"/>
      <c r="I75" s="430"/>
      <c r="J75" s="430"/>
      <c r="K75" s="430"/>
      <c r="L75" s="430"/>
      <c r="M75" s="430"/>
      <c r="N75" s="430"/>
      <c r="O75" s="430"/>
      <c r="P75" s="430"/>
      <c r="Q75" s="430"/>
    </row>
    <row r="76" spans="2:17" s="249" customFormat="1" ht="65.25" customHeight="1" x14ac:dyDescent="0.25">
      <c r="B76" s="442" t="s">
        <v>310</v>
      </c>
      <c r="C76" s="442"/>
      <c r="D76" s="442"/>
      <c r="E76" s="442"/>
      <c r="F76" s="442"/>
      <c r="G76" s="442"/>
      <c r="H76" s="442"/>
      <c r="I76" s="442"/>
      <c r="J76" s="442"/>
      <c r="K76" s="442"/>
      <c r="L76" s="442"/>
      <c r="M76" s="442"/>
      <c r="N76" s="442"/>
      <c r="O76" s="442"/>
      <c r="P76" s="442"/>
      <c r="Q76" s="442"/>
    </row>
    <row r="77" spans="2:17" s="249" customFormat="1" ht="46.5" customHeight="1" x14ac:dyDescent="0.25">
      <c r="B77" s="442" t="s">
        <v>378</v>
      </c>
      <c r="C77" s="442"/>
      <c r="D77" s="442"/>
      <c r="E77" s="442"/>
      <c r="F77" s="442"/>
      <c r="G77" s="442"/>
      <c r="H77" s="442"/>
      <c r="I77" s="442"/>
      <c r="J77" s="442"/>
      <c r="K77" s="442"/>
      <c r="L77" s="442"/>
      <c r="M77" s="442"/>
      <c r="N77" s="442"/>
      <c r="O77" s="442"/>
      <c r="P77" s="442"/>
      <c r="Q77" s="442"/>
    </row>
    <row r="78" spans="2:17" ht="24.95" customHeight="1" x14ac:dyDescent="0.25">
      <c r="B78" s="443" t="s">
        <v>304</v>
      </c>
      <c r="C78" s="443"/>
      <c r="D78" s="443"/>
      <c r="E78" s="443"/>
      <c r="F78" s="443"/>
      <c r="G78" s="443"/>
      <c r="H78" s="443"/>
      <c r="I78" s="443"/>
      <c r="J78" s="443"/>
      <c r="K78" s="443"/>
      <c r="L78" s="443"/>
      <c r="M78" s="443"/>
      <c r="N78" s="443"/>
      <c r="O78" s="443"/>
      <c r="P78" s="443"/>
      <c r="Q78" s="443"/>
    </row>
    <row r="79" spans="2:17" s="250" customFormat="1" ht="30" customHeight="1" x14ac:dyDescent="0.25">
      <c r="B79" s="429" t="s">
        <v>370</v>
      </c>
      <c r="C79" s="429"/>
      <c r="D79" s="429"/>
      <c r="E79" s="429"/>
      <c r="F79" s="429"/>
      <c r="G79" s="429"/>
      <c r="H79" s="429"/>
      <c r="I79" s="429"/>
      <c r="J79" s="429"/>
      <c r="K79" s="429"/>
      <c r="L79" s="429"/>
      <c r="M79" s="429"/>
      <c r="N79" s="429"/>
      <c r="O79" s="429"/>
      <c r="P79" s="429"/>
      <c r="Q79" s="429"/>
    </row>
  </sheetData>
  <sheetProtection algorithmName="SHA-512" hashValue="ecGn1JgKzXwZGpVgbOw3zpol22blps6p4x8ggZkqxXrVqUYt80EbyJFiJ2sqbfHLnXn7nH5PDlX7ZeaGZZZMmg==" saltValue="ooXDTq4FNykCH4RUAz/BMA==" spinCount="100000" sheet="1" objects="1" scenarios="1"/>
  <mergeCells count="68">
    <mergeCell ref="B76:Q76"/>
    <mergeCell ref="B77:Q77"/>
    <mergeCell ref="B78:Q78"/>
    <mergeCell ref="B79:Q79"/>
    <mergeCell ref="B69:Q69"/>
    <mergeCell ref="B71:Q71"/>
    <mergeCell ref="B72:Q72"/>
    <mergeCell ref="B73:Q73"/>
    <mergeCell ref="B74:Q74"/>
    <mergeCell ref="B75:Q75"/>
    <mergeCell ref="B67:Q67"/>
    <mergeCell ref="B56:Q56"/>
    <mergeCell ref="B57:Q57"/>
    <mergeCell ref="B58:Q58"/>
    <mergeCell ref="B59:Q59"/>
    <mergeCell ref="B60:Q60"/>
    <mergeCell ref="B61:Q61"/>
    <mergeCell ref="B62:Q62"/>
    <mergeCell ref="B63:Q63"/>
    <mergeCell ref="B64:Q64"/>
    <mergeCell ref="B65:Q65"/>
    <mergeCell ref="B66:Q66"/>
    <mergeCell ref="B55:Q55"/>
    <mergeCell ref="B42:Q42"/>
    <mergeCell ref="B43:Q43"/>
    <mergeCell ref="B44:Q44"/>
    <mergeCell ref="B45:Q45"/>
    <mergeCell ref="B46:Q46"/>
    <mergeCell ref="B48:Q48"/>
    <mergeCell ref="B50:Q50"/>
    <mergeCell ref="B51:Q51"/>
    <mergeCell ref="B52:Q52"/>
    <mergeCell ref="B53:Q53"/>
    <mergeCell ref="B54:Q54"/>
    <mergeCell ref="B41:Q41"/>
    <mergeCell ref="B29:Q29"/>
    <mergeCell ref="B30:Q30"/>
    <mergeCell ref="B31:Q31"/>
    <mergeCell ref="B32:Q32"/>
    <mergeCell ref="B33:Q33"/>
    <mergeCell ref="B34:Q34"/>
    <mergeCell ref="B35:Q35"/>
    <mergeCell ref="B36:Q36"/>
    <mergeCell ref="B37:Q37"/>
    <mergeCell ref="B38:Q38"/>
    <mergeCell ref="B40:Q40"/>
    <mergeCell ref="B28:Q28"/>
    <mergeCell ref="B16:Q16"/>
    <mergeCell ref="B17:Q17"/>
    <mergeCell ref="B18:Q18"/>
    <mergeCell ref="B19:Q19"/>
    <mergeCell ref="B20:Q20"/>
    <mergeCell ref="B21:Q21"/>
    <mergeCell ref="B22:Q22"/>
    <mergeCell ref="B23:Q23"/>
    <mergeCell ref="B24:Q24"/>
    <mergeCell ref="B26:Q26"/>
    <mergeCell ref="B27:Q27"/>
    <mergeCell ref="B15:Q15"/>
    <mergeCell ref="B4:Q4"/>
    <mergeCell ref="B6:Q6"/>
    <mergeCell ref="B7:Q7"/>
    <mergeCell ref="B8:Q8"/>
    <mergeCell ref="B9:Q9"/>
    <mergeCell ref="B10:Q10"/>
    <mergeCell ref="B12:Q12"/>
    <mergeCell ref="B13:Q13"/>
    <mergeCell ref="B14:Q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sheetPr>
  <dimension ref="A1:K56"/>
  <sheetViews>
    <sheetView workbookViewId="0"/>
  </sheetViews>
  <sheetFormatPr defaultColWidth="9.140625" defaultRowHeight="15" x14ac:dyDescent="0.25"/>
  <cols>
    <col min="1" max="1" width="11.85546875" style="2" customWidth="1"/>
    <col min="2" max="2" width="49.7109375" style="2" customWidth="1"/>
    <col min="3" max="3" width="15" style="2" customWidth="1"/>
    <col min="4" max="4" width="67" style="2" customWidth="1"/>
    <col min="5" max="5" width="13.28515625" style="2" bestFit="1" customWidth="1"/>
    <col min="6" max="16384" width="9.140625" style="2"/>
  </cols>
  <sheetData>
    <row r="1" spans="1:11" ht="18.75" x14ac:dyDescent="0.3">
      <c r="A1" s="4" t="s">
        <v>343</v>
      </c>
      <c r="B1" s="4"/>
      <c r="C1" s="4"/>
      <c r="D1" s="4"/>
      <c r="E1" s="4"/>
      <c r="F1" s="4"/>
      <c r="G1" s="3"/>
      <c r="H1" s="3"/>
      <c r="I1" s="3"/>
      <c r="J1" s="3"/>
      <c r="K1" s="3"/>
    </row>
    <row r="2" spans="1:11" ht="18.75" x14ac:dyDescent="0.3">
      <c r="A2" s="31" t="s">
        <v>405</v>
      </c>
      <c r="B2" s="4"/>
      <c r="C2" s="4"/>
      <c r="D2" s="4"/>
      <c r="E2" s="4"/>
      <c r="F2" s="4"/>
      <c r="G2" s="3"/>
      <c r="H2" s="3"/>
      <c r="I2" s="3"/>
      <c r="J2" s="3"/>
      <c r="K2" s="3"/>
    </row>
    <row r="3" spans="1:11" ht="18.75" x14ac:dyDescent="0.3">
      <c r="A3" s="4"/>
      <c r="B3" s="4"/>
      <c r="C3" s="4"/>
      <c r="D3" s="4"/>
      <c r="E3" s="4"/>
      <c r="F3" s="4"/>
      <c r="G3" s="3"/>
      <c r="H3" s="3"/>
      <c r="I3" s="3"/>
      <c r="J3" s="3"/>
      <c r="K3" s="3"/>
    </row>
    <row r="4" spans="1:11" ht="15.75" x14ac:dyDescent="0.25">
      <c r="A4" s="7" t="s">
        <v>1</v>
      </c>
      <c r="B4" s="448" t="s">
        <v>344</v>
      </c>
      <c r="C4" s="448"/>
      <c r="D4" s="44"/>
      <c r="E4" s="44"/>
      <c r="F4" s="44"/>
      <c r="G4" s="44"/>
      <c r="H4" s="3"/>
      <c r="I4" s="3"/>
      <c r="J4" s="3"/>
      <c r="K4" s="3"/>
    </row>
    <row r="5" spans="1:11" ht="15.75" x14ac:dyDescent="0.25">
      <c r="A5" s="7" t="s">
        <v>0</v>
      </c>
      <c r="B5" s="448" t="s">
        <v>313</v>
      </c>
      <c r="C5" s="448"/>
      <c r="D5" s="44"/>
      <c r="E5" s="44"/>
      <c r="F5" s="44"/>
      <c r="G5" s="44"/>
      <c r="H5" s="3"/>
      <c r="I5" s="3"/>
      <c r="J5" s="3"/>
      <c r="K5" s="3"/>
    </row>
    <row r="6" spans="1:11" x14ac:dyDescent="0.25">
      <c r="A6" s="3"/>
      <c r="B6" s="3"/>
      <c r="C6" s="3"/>
      <c r="D6" s="3"/>
      <c r="E6" s="3"/>
      <c r="F6" s="3"/>
      <c r="G6" s="3"/>
      <c r="H6" s="3"/>
      <c r="I6" s="3"/>
      <c r="J6" s="3"/>
      <c r="K6" s="3"/>
    </row>
    <row r="7" spans="1:11" x14ac:dyDescent="0.25">
      <c r="A7" s="285" t="s">
        <v>388</v>
      </c>
      <c r="B7" s="285"/>
      <c r="C7" s="285"/>
      <c r="D7" s="285"/>
      <c r="E7" s="6"/>
      <c r="F7" s="6"/>
      <c r="G7" s="6"/>
      <c r="H7" s="6"/>
      <c r="I7" s="6"/>
      <c r="J7" s="6"/>
      <c r="K7" s="6"/>
    </row>
    <row r="8" spans="1:11" x14ac:dyDescent="0.25">
      <c r="A8" s="301" t="s">
        <v>110</v>
      </c>
      <c r="B8" s="302"/>
      <c r="C8" s="302"/>
      <c r="D8" s="302"/>
      <c r="E8" s="76"/>
      <c r="F8" s="76"/>
      <c r="G8" s="76"/>
      <c r="H8" s="76"/>
      <c r="I8" s="76"/>
      <c r="J8" s="76"/>
      <c r="K8" s="76"/>
    </row>
    <row r="10" spans="1:11" ht="30" x14ac:dyDescent="0.25">
      <c r="C10" s="34" t="s">
        <v>234</v>
      </c>
      <c r="D10" s="21" t="s">
        <v>8</v>
      </c>
    </row>
    <row r="12" spans="1:11" ht="15.75" x14ac:dyDescent="0.25">
      <c r="A12" s="287" t="s">
        <v>86</v>
      </c>
      <c r="B12" s="287"/>
      <c r="C12" s="288"/>
      <c r="D12" s="288"/>
    </row>
    <row r="14" spans="1:11" x14ac:dyDescent="0.25">
      <c r="A14" s="45" t="s">
        <v>142</v>
      </c>
      <c r="B14" s="57"/>
      <c r="C14" s="303">
        <v>197600</v>
      </c>
      <c r="D14" s="304" t="s">
        <v>218</v>
      </c>
    </row>
    <row r="15" spans="1:11" x14ac:dyDescent="0.25">
      <c r="A15" s="45" t="s">
        <v>143</v>
      </c>
      <c r="B15" s="57"/>
      <c r="C15" s="303">
        <v>128500</v>
      </c>
      <c r="D15" s="305" t="s">
        <v>218</v>
      </c>
    </row>
    <row r="16" spans="1:11" x14ac:dyDescent="0.25">
      <c r="A16" s="58" t="s">
        <v>144</v>
      </c>
      <c r="B16" s="57"/>
      <c r="C16" s="94">
        <f>IF('2a. Initiative - Desc. &amp; Enrl.'!D27=0,0,ROUND(C14/'2a. Initiative - Desc. &amp; Enrl.'!D27,1))</f>
        <v>13.3</v>
      </c>
      <c r="D16" s="305"/>
    </row>
    <row r="17" spans="1:4" x14ac:dyDescent="0.25">
      <c r="A17" s="58" t="s">
        <v>109</v>
      </c>
      <c r="B17" s="57"/>
      <c r="C17" s="98">
        <f>IF(C15=0,0,ROUND(C15/C14,3))</f>
        <v>0.65</v>
      </c>
      <c r="D17" s="305"/>
    </row>
    <row r="19" spans="1:4" ht="15.75" x14ac:dyDescent="0.25">
      <c r="A19" s="287" t="s">
        <v>93</v>
      </c>
      <c r="B19" s="287"/>
      <c r="C19" s="288"/>
      <c r="D19" s="288"/>
    </row>
    <row r="21" spans="1:4" ht="45" x14ac:dyDescent="0.25">
      <c r="A21" s="45" t="s">
        <v>145</v>
      </c>
      <c r="B21" s="57"/>
      <c r="C21" s="309">
        <v>0.61199999999999999</v>
      </c>
      <c r="D21" s="305" t="s">
        <v>235</v>
      </c>
    </row>
    <row r="23" spans="1:4" ht="15.75" x14ac:dyDescent="0.25">
      <c r="A23" s="287" t="s">
        <v>49</v>
      </c>
      <c r="B23" s="287"/>
      <c r="C23" s="288"/>
      <c r="D23" s="288"/>
    </row>
    <row r="24" spans="1:4" ht="15.75" x14ac:dyDescent="0.25">
      <c r="A24" s="59"/>
      <c r="B24" s="59"/>
      <c r="C24" s="3"/>
    </row>
    <row r="25" spans="1:4" x14ac:dyDescent="0.25">
      <c r="A25" s="9" t="s">
        <v>53</v>
      </c>
      <c r="B25" s="9"/>
      <c r="C25" s="9"/>
      <c r="D25" s="9"/>
    </row>
    <row r="26" spans="1:4" x14ac:dyDescent="0.25">
      <c r="A26" s="58" t="s">
        <v>150</v>
      </c>
      <c r="B26" s="57"/>
      <c r="C26" s="310">
        <v>105.5</v>
      </c>
      <c r="D26" s="305" t="s">
        <v>116</v>
      </c>
    </row>
    <row r="27" spans="1:4" x14ac:dyDescent="0.25">
      <c r="A27" s="58" t="s">
        <v>54</v>
      </c>
      <c r="B27" s="57"/>
      <c r="C27" s="310">
        <v>15.5</v>
      </c>
      <c r="D27" s="305"/>
    </row>
    <row r="28" spans="1:4" x14ac:dyDescent="0.25">
      <c r="C28" s="81"/>
    </row>
    <row r="29" spans="1:4" ht="68.25" x14ac:dyDescent="0.25">
      <c r="A29" s="45" t="s">
        <v>345</v>
      </c>
      <c r="B29" s="57"/>
      <c r="C29" s="311">
        <v>30000000</v>
      </c>
      <c r="D29" s="305" t="s">
        <v>347</v>
      </c>
    </row>
    <row r="30" spans="1:4" x14ac:dyDescent="0.25">
      <c r="A30" s="58" t="s">
        <v>346</v>
      </c>
      <c r="B30" s="57"/>
      <c r="C30" s="279">
        <f>IF(C14=0,0,ROUND(C29/C14,3))</f>
        <v>151.822</v>
      </c>
      <c r="D30" s="305"/>
    </row>
    <row r="32" spans="1:4" hidden="1" x14ac:dyDescent="0.25">
      <c r="A32" s="45" t="s">
        <v>172</v>
      </c>
      <c r="B32" s="57"/>
      <c r="C32" s="73">
        <v>25342441</v>
      </c>
      <c r="D32" s="56"/>
    </row>
    <row r="33" spans="1:4" hidden="1" x14ac:dyDescent="0.25">
      <c r="A33" s="58" t="s">
        <v>173</v>
      </c>
      <c r="B33" s="57"/>
      <c r="C33" s="160">
        <f>C32/C14</f>
        <v>128.25121963562754</v>
      </c>
      <c r="D33" s="56"/>
    </row>
    <row r="34" spans="1:4" hidden="1" x14ac:dyDescent="0.25">
      <c r="A34" s="45" t="s">
        <v>174</v>
      </c>
      <c r="B34" s="57"/>
      <c r="C34" s="73">
        <v>24452345</v>
      </c>
      <c r="D34" s="56"/>
    </row>
    <row r="35" spans="1:4" hidden="1" x14ac:dyDescent="0.25">
      <c r="A35" s="58" t="s">
        <v>175</v>
      </c>
      <c r="B35" s="57"/>
      <c r="C35" s="160">
        <f>C34/C14</f>
        <v>123.74668522267207</v>
      </c>
      <c r="D35" s="56"/>
    </row>
    <row r="36" spans="1:4" hidden="1" x14ac:dyDescent="0.25"/>
    <row r="37" spans="1:4" ht="15.75" x14ac:dyDescent="0.25">
      <c r="A37" s="287" t="s">
        <v>50</v>
      </c>
      <c r="B37" s="287"/>
      <c r="C37" s="288"/>
      <c r="D37" s="288"/>
    </row>
    <row r="39" spans="1:4" x14ac:dyDescent="0.25">
      <c r="A39" s="9" t="s">
        <v>146</v>
      </c>
      <c r="B39" s="9"/>
      <c r="C39" s="9"/>
      <c r="D39" s="9"/>
    </row>
    <row r="40" spans="1:4" ht="30" x14ac:dyDescent="0.25">
      <c r="A40" s="58" t="s">
        <v>52</v>
      </c>
      <c r="B40" s="45"/>
      <c r="C40" s="309">
        <v>0.25</v>
      </c>
      <c r="D40" s="305" t="s">
        <v>265</v>
      </c>
    </row>
    <row r="41" spans="1:4" ht="45" x14ac:dyDescent="0.25">
      <c r="A41" s="58" t="s">
        <v>51</v>
      </c>
      <c r="B41" s="45"/>
      <c r="C41" s="306">
        <v>7.6499999999999999E-2</v>
      </c>
      <c r="D41" s="304" t="s">
        <v>190</v>
      </c>
    </row>
    <row r="42" spans="1:4" ht="60" x14ac:dyDescent="0.25">
      <c r="A42" s="58" t="s">
        <v>238</v>
      </c>
      <c r="B42" s="45"/>
      <c r="C42" s="307">
        <v>0</v>
      </c>
      <c r="D42" s="304" t="s">
        <v>242</v>
      </c>
    </row>
    <row r="43" spans="1:4" ht="49.5" customHeight="1" x14ac:dyDescent="0.25">
      <c r="A43" s="45" t="s">
        <v>147</v>
      </c>
      <c r="B43" s="45"/>
      <c r="C43" s="309">
        <v>0.25</v>
      </c>
      <c r="D43" s="305" t="s">
        <v>151</v>
      </c>
    </row>
    <row r="44" spans="1:4" ht="90.75" customHeight="1" x14ac:dyDescent="0.25">
      <c r="A44" s="446" t="s">
        <v>148</v>
      </c>
      <c r="B44" s="447"/>
      <c r="C44" s="308">
        <v>0.45</v>
      </c>
      <c r="D44" s="305" t="s">
        <v>217</v>
      </c>
    </row>
    <row r="46" spans="1:4" ht="49.5" customHeight="1" x14ac:dyDescent="0.25">
      <c r="A46" s="45" t="s">
        <v>149</v>
      </c>
      <c r="B46" s="45"/>
      <c r="C46" s="311">
        <v>90800700</v>
      </c>
      <c r="D46" s="305" t="s">
        <v>201</v>
      </c>
    </row>
    <row r="48" spans="1:4" ht="15.75" x14ac:dyDescent="0.25">
      <c r="A48" s="287" t="s">
        <v>72</v>
      </c>
      <c r="B48" s="287"/>
      <c r="C48" s="288"/>
      <c r="D48" s="288"/>
    </row>
    <row r="50" spans="1:5" x14ac:dyDescent="0.25">
      <c r="A50" s="45" t="s">
        <v>210</v>
      </c>
      <c r="B50" s="45"/>
      <c r="C50" s="312">
        <v>115</v>
      </c>
      <c r="D50" s="305"/>
      <c r="E50" s="103"/>
    </row>
    <row r="51" spans="1:5" x14ac:dyDescent="0.25">
      <c r="A51" s="45" t="s">
        <v>211</v>
      </c>
      <c r="B51" s="45"/>
      <c r="C51" s="312">
        <v>179</v>
      </c>
      <c r="D51" s="305" t="s">
        <v>219</v>
      </c>
      <c r="E51" s="102"/>
    </row>
    <row r="52" spans="1:5" x14ac:dyDescent="0.25">
      <c r="A52" s="45" t="s">
        <v>90</v>
      </c>
      <c r="B52" s="45"/>
      <c r="C52" s="125">
        <f>SUM(C50:C51)</f>
        <v>294</v>
      </c>
      <c r="D52" s="305"/>
    </row>
    <row r="53" spans="1:5" x14ac:dyDescent="0.25">
      <c r="C53" s="81"/>
    </row>
    <row r="54" spans="1:5" x14ac:dyDescent="0.25">
      <c r="A54" s="45" t="s">
        <v>220</v>
      </c>
      <c r="B54" s="45"/>
      <c r="C54" s="313">
        <v>3000</v>
      </c>
      <c r="D54" s="305" t="s">
        <v>396</v>
      </c>
    </row>
    <row r="55" spans="1:5" ht="30" x14ac:dyDescent="0.25">
      <c r="A55" s="45" t="s">
        <v>212</v>
      </c>
      <c r="B55" s="45"/>
      <c r="C55" s="314">
        <v>8</v>
      </c>
      <c r="D55" s="305" t="s">
        <v>213</v>
      </c>
    </row>
    <row r="56" spans="1:5" x14ac:dyDescent="0.25">
      <c r="A56" s="45" t="s">
        <v>189</v>
      </c>
      <c r="B56" s="45"/>
      <c r="C56" s="200">
        <f>C54*C55</f>
        <v>24000</v>
      </c>
      <c r="D56" s="305"/>
    </row>
  </sheetData>
  <sheetProtection algorithmName="SHA-512" hashValue="Esf8qzHGH6jehCpuvE43Y6Am1PJPjX3wXecfgDsV/24vaViSgiGrDHmC3PocAu31Bvl89KcnXq3jjYFeVjq+Mw==" saltValue="MhDVv9I0R+FkK9Z9UURR/g==" spinCount="100000" sheet="1" objects="1" scenarios="1"/>
  <mergeCells count="3">
    <mergeCell ref="A44:B44"/>
    <mergeCell ref="B4:C4"/>
    <mergeCell ref="B5:C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M32"/>
  <sheetViews>
    <sheetView zoomScaleNormal="100" workbookViewId="0"/>
  </sheetViews>
  <sheetFormatPr defaultColWidth="9.140625" defaultRowHeight="15" x14ac:dyDescent="0.25"/>
  <cols>
    <col min="1" max="2" width="9.140625" style="2"/>
    <col min="3" max="3" width="23.140625" style="2" customWidth="1"/>
    <col min="4" max="7" width="16.140625" style="2" customWidth="1"/>
    <col min="8" max="9" width="17.140625" style="2" hidden="1" customWidth="1"/>
    <col min="10" max="10" width="48.42578125" style="2" customWidth="1"/>
    <col min="11" max="16384" width="9.140625" style="2"/>
  </cols>
  <sheetData>
    <row r="1" spans="1:13" ht="18.75" x14ac:dyDescent="0.3">
      <c r="A1" s="4" t="s">
        <v>343</v>
      </c>
      <c r="B1" s="4"/>
      <c r="C1" s="4"/>
      <c r="D1" s="4"/>
      <c r="E1" s="3"/>
      <c r="F1" s="3"/>
      <c r="G1" s="3"/>
      <c r="H1" s="3"/>
      <c r="I1" s="3"/>
      <c r="J1" s="3"/>
      <c r="K1" s="3"/>
      <c r="L1" s="3"/>
      <c r="M1" s="3"/>
    </row>
    <row r="2" spans="1:13" ht="18.75" x14ac:dyDescent="0.3">
      <c r="A2" s="31" t="s">
        <v>405</v>
      </c>
      <c r="B2" s="4"/>
      <c r="C2" s="4"/>
      <c r="D2" s="4"/>
      <c r="E2" s="3"/>
      <c r="F2" s="3"/>
      <c r="G2" s="3"/>
      <c r="H2" s="3"/>
      <c r="I2" s="3"/>
      <c r="J2" s="3"/>
      <c r="K2" s="3"/>
      <c r="L2" s="3"/>
      <c r="M2" s="3"/>
    </row>
    <row r="3" spans="1:13" ht="18.75" x14ac:dyDescent="0.3">
      <c r="A3" s="4"/>
      <c r="B3" s="4"/>
      <c r="C3" s="4"/>
      <c r="D3" s="4"/>
      <c r="E3" s="3"/>
      <c r="F3" s="3"/>
      <c r="G3" s="3"/>
      <c r="H3" s="3"/>
      <c r="I3" s="3"/>
      <c r="J3" s="3"/>
      <c r="K3" s="3"/>
      <c r="L3" s="3"/>
      <c r="M3" s="3"/>
    </row>
    <row r="4" spans="1:13" ht="15.75" x14ac:dyDescent="0.25">
      <c r="A4" s="7" t="s">
        <v>1</v>
      </c>
      <c r="B4" s="3"/>
      <c r="C4" s="412" t="str">
        <f>'1. Institution-wide Data'!$B$4</f>
        <v>University of X</v>
      </c>
      <c r="D4" s="413"/>
      <c r="E4" s="414"/>
    </row>
    <row r="5" spans="1:13" ht="15.75" x14ac:dyDescent="0.25">
      <c r="A5" s="7" t="s">
        <v>0</v>
      </c>
      <c r="B5" s="3"/>
      <c r="C5" s="412" t="str">
        <f>'1. Institution-wide Data'!$B$5</f>
        <v>Invest in Advising Technology</v>
      </c>
      <c r="D5" s="413"/>
      <c r="E5" s="414"/>
    </row>
    <row r="6" spans="1:13" x14ac:dyDescent="0.25">
      <c r="A6" s="3"/>
      <c r="B6" s="5"/>
      <c r="C6" s="5"/>
      <c r="D6" s="5"/>
      <c r="E6" s="3"/>
      <c r="F6" s="3"/>
      <c r="G6" s="3"/>
      <c r="H6" s="3"/>
      <c r="I6" s="3"/>
      <c r="J6" s="3"/>
      <c r="K6" s="3"/>
      <c r="L6" s="3"/>
      <c r="M6" s="3"/>
    </row>
    <row r="7" spans="1:13" x14ac:dyDescent="0.25">
      <c r="A7" s="3"/>
      <c r="B7" s="5"/>
      <c r="C7" s="5"/>
      <c r="D7" s="5"/>
      <c r="E7" s="3"/>
      <c r="F7" s="3"/>
      <c r="G7" s="3"/>
      <c r="H7" s="3"/>
      <c r="I7" s="3"/>
      <c r="J7" s="3"/>
      <c r="K7" s="3"/>
      <c r="L7" s="3"/>
      <c r="M7" s="3"/>
    </row>
    <row r="8" spans="1:13" ht="15.75" x14ac:dyDescent="0.25">
      <c r="A8" s="7" t="s">
        <v>153</v>
      </c>
      <c r="B8" s="3"/>
      <c r="C8" s="3"/>
      <c r="D8" s="3"/>
      <c r="E8" s="3"/>
      <c r="F8" s="3"/>
      <c r="G8" s="3"/>
      <c r="H8" s="3"/>
      <c r="I8" s="3"/>
      <c r="J8" s="3"/>
      <c r="K8" s="3"/>
      <c r="L8" s="3"/>
      <c r="M8" s="3"/>
    </row>
    <row r="9" spans="1:13" x14ac:dyDescent="0.25">
      <c r="A9" s="449" t="s">
        <v>314</v>
      </c>
      <c r="B9" s="450"/>
      <c r="C9" s="450"/>
      <c r="D9" s="450"/>
      <c r="E9" s="450"/>
      <c r="F9" s="450"/>
      <c r="G9" s="451"/>
    </row>
    <row r="10" spans="1:13" x14ac:dyDescent="0.25">
      <c r="A10" s="452"/>
      <c r="B10" s="453"/>
      <c r="C10" s="453"/>
      <c r="D10" s="453"/>
      <c r="E10" s="453"/>
      <c r="F10" s="453"/>
      <c r="G10" s="454"/>
    </row>
    <row r="11" spans="1:13" x14ac:dyDescent="0.25">
      <c r="A11" s="452"/>
      <c r="B11" s="453"/>
      <c r="C11" s="453"/>
      <c r="D11" s="453"/>
      <c r="E11" s="453"/>
      <c r="F11" s="453"/>
      <c r="G11" s="454"/>
    </row>
    <row r="12" spans="1:13" x14ac:dyDescent="0.25">
      <c r="A12" s="452"/>
      <c r="B12" s="453"/>
      <c r="C12" s="453"/>
      <c r="D12" s="453"/>
      <c r="E12" s="453"/>
      <c r="F12" s="453"/>
      <c r="G12" s="454"/>
    </row>
    <row r="13" spans="1:13" x14ac:dyDescent="0.25">
      <c r="A13" s="452"/>
      <c r="B13" s="453"/>
      <c r="C13" s="453"/>
      <c r="D13" s="453"/>
      <c r="E13" s="453"/>
      <c r="F13" s="453"/>
      <c r="G13" s="454"/>
    </row>
    <row r="14" spans="1:13" x14ac:dyDescent="0.25">
      <c r="A14" s="452"/>
      <c r="B14" s="453"/>
      <c r="C14" s="453"/>
      <c r="D14" s="453"/>
      <c r="E14" s="453"/>
      <c r="F14" s="453"/>
      <c r="G14" s="454"/>
    </row>
    <row r="15" spans="1:13" x14ac:dyDescent="0.25">
      <c r="A15" s="452"/>
      <c r="B15" s="453"/>
      <c r="C15" s="453"/>
      <c r="D15" s="453"/>
      <c r="E15" s="453"/>
      <c r="F15" s="453"/>
      <c r="G15" s="454"/>
    </row>
    <row r="16" spans="1:13" x14ac:dyDescent="0.25">
      <c r="A16" s="452"/>
      <c r="B16" s="453"/>
      <c r="C16" s="453"/>
      <c r="D16" s="453"/>
      <c r="E16" s="453"/>
      <c r="F16" s="453"/>
      <c r="G16" s="454"/>
    </row>
    <row r="17" spans="1:10" x14ac:dyDescent="0.25">
      <c r="A17" s="455"/>
      <c r="B17" s="456"/>
      <c r="C17" s="456"/>
      <c r="D17" s="456"/>
      <c r="E17" s="456"/>
      <c r="F17" s="456"/>
      <c r="G17" s="457"/>
    </row>
    <row r="20" spans="1:10" ht="15.75" x14ac:dyDescent="0.25">
      <c r="A20" s="287" t="s">
        <v>76</v>
      </c>
      <c r="B20" s="288"/>
      <c r="C20" s="288"/>
      <c r="D20" s="288"/>
      <c r="E20" s="288"/>
      <c r="F20" s="288"/>
      <c r="G20" s="288"/>
      <c r="H20" s="288"/>
      <c r="I20" s="288"/>
      <c r="J20" s="288"/>
    </row>
    <row r="21" spans="1:10" x14ac:dyDescent="0.25">
      <c r="A21" s="3"/>
      <c r="B21" s="3"/>
      <c r="C21" s="3"/>
      <c r="D21" s="3"/>
      <c r="E21" s="3"/>
      <c r="F21" s="3"/>
      <c r="G21" s="3"/>
      <c r="H21" s="3"/>
      <c r="I21" s="3"/>
      <c r="J21" s="3"/>
    </row>
    <row r="22" spans="1:10" x14ac:dyDescent="0.25">
      <c r="A22" s="458" t="s">
        <v>389</v>
      </c>
      <c r="B22" s="458"/>
      <c r="C22" s="458"/>
      <c r="D22" s="458"/>
      <c r="E22" s="458"/>
      <c r="F22" s="458"/>
      <c r="G22" s="458"/>
      <c r="H22" s="458"/>
      <c r="I22" s="458"/>
      <c r="J22" s="458"/>
    </row>
    <row r="23" spans="1:10" ht="15" customHeight="1" x14ac:dyDescent="0.25">
      <c r="A23" s="462"/>
      <c r="B23" s="462"/>
      <c r="C23" s="462"/>
      <c r="D23" s="462"/>
      <c r="E23" s="462"/>
      <c r="F23" s="462"/>
      <c r="G23" s="462"/>
      <c r="H23" s="462"/>
      <c r="I23" s="462"/>
      <c r="J23" s="462"/>
    </row>
    <row r="24" spans="1:10" ht="15" customHeight="1" x14ac:dyDescent="0.25">
      <c r="A24" s="76"/>
      <c r="B24" s="76"/>
      <c r="C24" s="76"/>
      <c r="D24" s="76"/>
      <c r="E24" s="76"/>
      <c r="F24" s="76"/>
      <c r="G24" s="76"/>
      <c r="H24" s="76"/>
      <c r="I24" s="76"/>
      <c r="J24" s="76"/>
    </row>
    <row r="25" spans="1:10" ht="30" x14ac:dyDescent="0.25">
      <c r="A25" s="8"/>
      <c r="B25" s="8"/>
      <c r="C25" s="8"/>
      <c r="D25" s="34" t="s">
        <v>207</v>
      </c>
      <c r="E25" s="20" t="s">
        <v>3</v>
      </c>
      <c r="F25" s="20" t="s">
        <v>4</v>
      </c>
      <c r="G25" s="20" t="s">
        <v>5</v>
      </c>
      <c r="H25" s="20" t="s">
        <v>6</v>
      </c>
      <c r="I25" s="20" t="s">
        <v>7</v>
      </c>
      <c r="J25" s="21" t="s">
        <v>8</v>
      </c>
    </row>
    <row r="26" spans="1:10" x14ac:dyDescent="0.25">
      <c r="A26" s="46"/>
      <c r="B26" s="8"/>
      <c r="C26" s="8"/>
      <c r="D26" s="23"/>
      <c r="E26" s="23"/>
      <c r="F26" s="23"/>
      <c r="G26" s="23"/>
      <c r="H26" s="23"/>
      <c r="I26" s="23"/>
      <c r="J26" s="24"/>
    </row>
    <row r="27" spans="1:10" ht="27" customHeight="1" x14ac:dyDescent="0.25">
      <c r="A27" s="460" t="s">
        <v>152</v>
      </c>
      <c r="B27" s="460"/>
      <c r="C27" s="461"/>
      <c r="D27" s="316">
        <v>14815</v>
      </c>
      <c r="E27" s="316">
        <f>D27*1.01</f>
        <v>14963.15</v>
      </c>
      <c r="F27" s="316">
        <f>E27*1.01</f>
        <v>15112.781499999999</v>
      </c>
      <c r="G27" s="316">
        <f>F27*1.01</f>
        <v>15263.909314999999</v>
      </c>
      <c r="H27" s="316"/>
      <c r="I27" s="316"/>
      <c r="J27" s="317"/>
    </row>
    <row r="28" spans="1:10" x14ac:dyDescent="0.25">
      <c r="D28" s="81"/>
      <c r="E28" s="81"/>
      <c r="F28" s="81"/>
      <c r="G28" s="81"/>
      <c r="H28" s="81"/>
      <c r="I28" s="81"/>
      <c r="J28" s="237"/>
    </row>
    <row r="29" spans="1:10" ht="30.75" customHeight="1" x14ac:dyDescent="0.25">
      <c r="A29" s="460" t="s">
        <v>87</v>
      </c>
      <c r="B29" s="460"/>
      <c r="C29" s="461"/>
      <c r="D29" s="259"/>
      <c r="E29" s="316">
        <v>10000</v>
      </c>
      <c r="F29" s="316">
        <f>E29*1.01</f>
        <v>10100</v>
      </c>
      <c r="G29" s="316">
        <f>F29*1.01</f>
        <v>10201</v>
      </c>
      <c r="H29" s="316"/>
      <c r="I29" s="316"/>
      <c r="J29" s="317"/>
    </row>
    <row r="30" spans="1:10" x14ac:dyDescent="0.25">
      <c r="D30" s="81"/>
      <c r="E30" s="81"/>
      <c r="F30" s="81"/>
      <c r="G30" s="81"/>
      <c r="H30" s="81"/>
      <c r="I30" s="81"/>
      <c r="J30" s="237"/>
    </row>
    <row r="31" spans="1:10" ht="33" customHeight="1" x14ac:dyDescent="0.25">
      <c r="A31" s="460" t="s">
        <v>88</v>
      </c>
      <c r="B31" s="460"/>
      <c r="C31" s="461"/>
      <c r="D31" s="259"/>
      <c r="E31" s="316">
        <v>4000</v>
      </c>
      <c r="F31" s="316">
        <v>4000</v>
      </c>
      <c r="G31" s="316">
        <v>4500</v>
      </c>
      <c r="H31" s="316"/>
      <c r="I31" s="316"/>
      <c r="J31" s="317"/>
    </row>
    <row r="32" spans="1:10" ht="69" customHeight="1" x14ac:dyDescent="0.25">
      <c r="H32" s="459" t="s">
        <v>244</v>
      </c>
      <c r="I32" s="459"/>
    </row>
  </sheetData>
  <sheetProtection algorithmName="SHA-512" hashValue="P1EQKYgX3CzpcSXq/nPRkaKUyKFzOgzDfioa5OuIh8//SM/DBMKaKXfautvYzJ/Iq5I8dt6vck63e2FoNLuCmA==" saltValue="8mCwPA39QgxsLcJd1GKDdg==" spinCount="100000" sheet="1" objects="1" scenarios="1"/>
  <mergeCells count="9">
    <mergeCell ref="C4:E4"/>
    <mergeCell ref="C5:E5"/>
    <mergeCell ref="A9:G17"/>
    <mergeCell ref="A22:J22"/>
    <mergeCell ref="H32:I32"/>
    <mergeCell ref="A29:C29"/>
    <mergeCell ref="A31:C31"/>
    <mergeCell ref="A23:J23"/>
    <mergeCell ref="A27:C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About</vt:lpstr>
      <vt:lpstr>Getting Started</vt:lpstr>
      <vt:lpstr>Dashboard Graphics</vt:lpstr>
      <vt:lpstr>Dashboard Data</vt:lpstr>
      <vt:lpstr>Dashboard Data - Graph Data</vt:lpstr>
      <vt:lpstr>Success Metric &amp; ROI Estimates</vt:lpstr>
      <vt:lpstr>Data Entry Instructions</vt:lpstr>
      <vt:lpstr>1. Institution-wide Data</vt:lpstr>
      <vt:lpstr>2a. Initiative - Desc. &amp; Enrl.</vt:lpstr>
      <vt:lpstr>2b Initiative - Plan of Finance</vt:lpstr>
      <vt:lpstr>2c. Initiative - Personnel Exp.</vt:lpstr>
      <vt:lpstr>2d. Initiative - Operating Exp.</vt:lpstr>
      <vt:lpstr>ROI&amp;Efficiency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Desrochers</dc:creator>
  <cp:lastModifiedBy>Donna Desrochers</cp:lastModifiedBy>
  <dcterms:created xsi:type="dcterms:W3CDTF">2017-11-02T13:40:56Z</dcterms:created>
  <dcterms:modified xsi:type="dcterms:W3CDTF">2018-08-02T18:54:06Z</dcterms:modified>
</cp:coreProperties>
</file>